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035" windowHeight="7935"/>
  </bookViews>
  <sheets>
    <sheet name="Batting" sheetId="1" r:id="rId1"/>
    <sheet name="Bowling" sheetId="2" r:id="rId2"/>
    <sheet name="Sheet3" sheetId="3" r:id="rId3"/>
  </sheets>
  <definedNames>
    <definedName name="_xlnm._FilterDatabase" localSheetId="0" hidden="1">Batting!$A$6:$J$49</definedName>
    <definedName name="_xlnm._FilterDatabase" localSheetId="1" hidden="1">Bowling!$A$6:$R$49</definedName>
    <definedName name="_xlnm.Print_Area" localSheetId="0">Batting!$A$1:$I$72</definedName>
    <definedName name="_xlnm.Print_Area" localSheetId="1">Bowling!$A$1:$M$70</definedName>
  </definedNames>
  <calcPr calcId="145621"/>
</workbook>
</file>

<file path=xl/calcChain.xml><?xml version="1.0" encoding="utf-8"?>
<calcChain xmlns="http://schemas.openxmlformats.org/spreadsheetml/2006/main">
  <c r="M20" i="1" l="1"/>
  <c r="C20" i="1"/>
  <c r="H39" i="1"/>
  <c r="H11" i="2"/>
  <c r="M11" i="2" s="1"/>
  <c r="F68" i="1"/>
  <c r="F39" i="1"/>
  <c r="D37" i="1"/>
  <c r="C37" i="1"/>
  <c r="F29" i="1"/>
  <c r="C29" i="1"/>
  <c r="F32" i="1"/>
  <c r="C32" i="1"/>
  <c r="H32" i="1" s="1"/>
  <c r="F19" i="1"/>
  <c r="C19" i="1"/>
  <c r="F23" i="1"/>
  <c r="C23" i="1"/>
  <c r="H23" i="1" s="1"/>
  <c r="F30" i="1"/>
  <c r="C30" i="1"/>
  <c r="F18" i="1"/>
  <c r="C18" i="1"/>
  <c r="H18" i="1" s="1"/>
  <c r="F7" i="1"/>
  <c r="C7" i="1"/>
  <c r="C13" i="1"/>
  <c r="H13" i="1" s="1"/>
  <c r="C15" i="1"/>
  <c r="H15" i="1" s="1"/>
  <c r="F15" i="1"/>
  <c r="F13" i="1"/>
  <c r="F10" i="1"/>
  <c r="C10" i="1"/>
  <c r="H10" i="1" s="1"/>
  <c r="H68" i="1"/>
  <c r="H62" i="1"/>
  <c r="H54" i="1"/>
  <c r="I49" i="2"/>
  <c r="I37" i="2"/>
  <c r="D37" i="2"/>
  <c r="I13" i="2"/>
  <c r="L13" i="2" s="1"/>
  <c r="H13" i="2"/>
  <c r="M13" i="2" s="1"/>
  <c r="D13" i="2"/>
  <c r="I7" i="2"/>
  <c r="H7" i="2"/>
  <c r="M7" i="2" s="1"/>
  <c r="E7" i="2"/>
  <c r="D7" i="2"/>
  <c r="I35" i="2"/>
  <c r="D35" i="2"/>
  <c r="L35" i="2" s="1"/>
  <c r="I19" i="2"/>
  <c r="L19" i="2" s="1"/>
  <c r="E19" i="2"/>
  <c r="D19" i="2"/>
  <c r="I11" i="2"/>
  <c r="L11" i="2" s="1"/>
  <c r="F11" i="2"/>
  <c r="E11" i="2"/>
  <c r="D11" i="2"/>
  <c r="H10" i="2"/>
  <c r="K10" i="2" s="1"/>
  <c r="I17" i="2"/>
  <c r="L17" i="2" s="1"/>
  <c r="H17" i="2"/>
  <c r="D17" i="2"/>
  <c r="I9" i="2"/>
  <c r="L9" i="2" s="1"/>
  <c r="H9" i="2"/>
  <c r="M9" i="2" s="1"/>
  <c r="D9" i="2"/>
  <c r="I23" i="2"/>
  <c r="E23" i="2"/>
  <c r="D23" i="2"/>
  <c r="M23" i="2" s="1"/>
  <c r="I10" i="2"/>
  <c r="D10" i="2"/>
  <c r="L10" i="2" s="1"/>
  <c r="I66" i="2"/>
  <c r="H67" i="1" s="1"/>
  <c r="D15" i="1"/>
  <c r="F67" i="1"/>
  <c r="L40" i="2"/>
  <c r="L22" i="2"/>
  <c r="L41" i="2"/>
  <c r="L14" i="2"/>
  <c r="L42" i="2"/>
  <c r="L38" i="2"/>
  <c r="L39" i="2"/>
  <c r="L30" i="2"/>
  <c r="L37" i="2"/>
  <c r="L36" i="2"/>
  <c r="L43" i="2"/>
  <c r="L44" i="2"/>
  <c r="L45" i="2"/>
  <c r="L26" i="2"/>
  <c r="L46" i="2"/>
  <c r="L32" i="2"/>
  <c r="L25" i="2"/>
  <c r="L20" i="2"/>
  <c r="L33" i="2"/>
  <c r="L47" i="2"/>
  <c r="L15" i="2"/>
  <c r="L48" i="2"/>
  <c r="L16" i="2"/>
  <c r="L31" i="2"/>
  <c r="L49" i="2"/>
  <c r="L7" i="2"/>
  <c r="M49" i="2"/>
  <c r="K49" i="2"/>
  <c r="M16" i="2"/>
  <c r="K16" i="2"/>
  <c r="M48" i="2"/>
  <c r="K48" i="2"/>
  <c r="M15" i="2"/>
  <c r="K15" i="2"/>
  <c r="K9" i="2"/>
  <c r="M47" i="2"/>
  <c r="K47" i="2"/>
  <c r="K13" i="2"/>
  <c r="M33" i="2"/>
  <c r="K33" i="2"/>
  <c r="M35" i="2"/>
  <c r="K35" i="2"/>
  <c r="M20" i="2"/>
  <c r="K20" i="2"/>
  <c r="M25" i="2"/>
  <c r="K25" i="2"/>
  <c r="M32" i="2"/>
  <c r="K32" i="2"/>
  <c r="M46" i="2"/>
  <c r="K46" i="2"/>
  <c r="M26" i="2"/>
  <c r="K26" i="2"/>
  <c r="M45" i="2"/>
  <c r="K45" i="2"/>
  <c r="M44" i="2"/>
  <c r="K44" i="2"/>
  <c r="M43" i="2"/>
  <c r="K43" i="2"/>
  <c r="M36" i="2"/>
  <c r="K36" i="2"/>
  <c r="M19" i="2"/>
  <c r="K19" i="2"/>
  <c r="M34" i="2"/>
  <c r="K34" i="2"/>
  <c r="K11" i="2"/>
  <c r="M37" i="2"/>
  <c r="K37" i="2"/>
  <c r="M30" i="2"/>
  <c r="K30" i="2"/>
  <c r="M39" i="2"/>
  <c r="K39" i="2"/>
  <c r="M10" i="2"/>
  <c r="M38" i="2"/>
  <c r="K38" i="2"/>
  <c r="M42" i="2"/>
  <c r="K42" i="2"/>
  <c r="M14" i="2"/>
  <c r="K14" i="2"/>
  <c r="M41" i="2"/>
  <c r="K41" i="2"/>
  <c r="M22" i="2"/>
  <c r="K22" i="2"/>
  <c r="M40" i="2"/>
  <c r="K40" i="2"/>
  <c r="M31" i="2"/>
  <c r="K31" i="2"/>
  <c r="H34" i="1"/>
  <c r="H22" i="1"/>
  <c r="F14" i="1"/>
  <c r="C14" i="1"/>
  <c r="H14" i="1"/>
  <c r="F16" i="1"/>
  <c r="H16" i="1" s="1"/>
  <c r="C16" i="1"/>
  <c r="H20" i="1"/>
  <c r="F11" i="1"/>
  <c r="C11" i="1"/>
  <c r="H35" i="1"/>
  <c r="I29" i="2"/>
  <c r="K29" i="2" s="1"/>
  <c r="D29" i="2"/>
  <c r="M29" i="2" s="1"/>
  <c r="I65" i="2"/>
  <c r="H66" i="1" s="1"/>
  <c r="F65" i="1"/>
  <c r="H31" i="1"/>
  <c r="H26" i="1"/>
  <c r="F9" i="1"/>
  <c r="C9" i="1"/>
  <c r="H9" i="1" s="1"/>
  <c r="F12" i="1"/>
  <c r="C12" i="1"/>
  <c r="I21" i="2"/>
  <c r="K21" i="2" s="1"/>
  <c r="H21" i="2"/>
  <c r="D21" i="2"/>
  <c r="L21" i="2"/>
  <c r="G7" i="2"/>
  <c r="F7" i="2"/>
  <c r="I8" i="2"/>
  <c r="H8" i="2"/>
  <c r="M8" i="2" s="1"/>
  <c r="E8" i="2"/>
  <c r="D8" i="2"/>
  <c r="L8" i="2"/>
  <c r="I64" i="2"/>
  <c r="H65" i="1" s="1"/>
  <c r="I24" i="2"/>
  <c r="H24" i="2"/>
  <c r="D24" i="2"/>
  <c r="L24" i="2" s="1"/>
  <c r="I63" i="2"/>
  <c r="H64" i="1" s="1"/>
  <c r="I28" i="2"/>
  <c r="K28" i="2" s="1"/>
  <c r="D28" i="2"/>
  <c r="M28" i="2" s="1"/>
  <c r="I62" i="2"/>
  <c r="H63" i="1" s="1"/>
  <c r="F33" i="1"/>
  <c r="C33" i="1"/>
  <c r="H33" i="1" s="1"/>
  <c r="D16" i="1"/>
  <c r="F63" i="1"/>
  <c r="F64" i="1"/>
  <c r="F8" i="1"/>
  <c r="H8" i="1" s="1"/>
  <c r="C8" i="1"/>
  <c r="F17" i="1"/>
  <c r="C17" i="1"/>
  <c r="H17" i="1" s="1"/>
  <c r="H37" i="1"/>
  <c r="I27" i="2"/>
  <c r="K27" i="2" s="1"/>
  <c r="D27" i="2"/>
  <c r="L27" i="2" s="1"/>
  <c r="E10" i="2"/>
  <c r="D12" i="1"/>
  <c r="F24" i="1"/>
  <c r="C24" i="1"/>
  <c r="H24" i="1" s="1"/>
  <c r="F25" i="1"/>
  <c r="C25" i="1"/>
  <c r="H25" i="1"/>
  <c r="F21" i="1"/>
  <c r="C21" i="1"/>
  <c r="F59" i="1"/>
  <c r="F58" i="1"/>
  <c r="C28" i="1"/>
  <c r="H28" i="1" s="1"/>
  <c r="H12" i="2"/>
  <c r="J69" i="2"/>
  <c r="H69" i="2" s="1"/>
  <c r="H18" i="2"/>
  <c r="M18" i="2" s="1"/>
  <c r="G71" i="1"/>
  <c r="I34" i="2"/>
  <c r="G34" i="2"/>
  <c r="D34" i="2"/>
  <c r="L34" i="2" s="1"/>
  <c r="I60" i="2"/>
  <c r="H61" i="1" s="1"/>
  <c r="I18" i="2"/>
  <c r="L18" i="2" s="1"/>
  <c r="D18" i="2"/>
  <c r="I12" i="2"/>
  <c r="D12" i="2"/>
  <c r="M12" i="2" s="1"/>
  <c r="I59" i="2"/>
  <c r="H60" i="1" s="1"/>
  <c r="I58" i="2"/>
  <c r="H59" i="1" s="1"/>
  <c r="E12" i="2"/>
  <c r="I57" i="2"/>
  <c r="H58" i="1" s="1"/>
  <c r="I56" i="2"/>
  <c r="H57" i="1"/>
  <c r="I55" i="2"/>
  <c r="H56" i="1" s="1"/>
  <c r="I54" i="2"/>
  <c r="H55" i="1"/>
  <c r="H38" i="1"/>
  <c r="H36" i="1"/>
  <c r="H30" i="1"/>
  <c r="H27" i="1"/>
  <c r="H29" i="1"/>
  <c r="H19" i="1"/>
  <c r="L29" i="2" l="1"/>
  <c r="I69" i="2"/>
  <c r="I70" i="2" s="1"/>
  <c r="H70" i="2"/>
  <c r="M21" i="2"/>
  <c r="K7" i="2"/>
  <c r="K17" i="2"/>
  <c r="L23" i="2"/>
  <c r="M17" i="2"/>
  <c r="M24" i="2"/>
  <c r="K12" i="2"/>
  <c r="K18" i="2"/>
  <c r="M27" i="2"/>
  <c r="K24" i="2"/>
  <c r="L12" i="2"/>
  <c r="L28" i="2"/>
  <c r="K8" i="2"/>
  <c r="K23" i="2"/>
  <c r="H7" i="1"/>
  <c r="F71" i="1"/>
  <c r="F72" i="1" s="1"/>
  <c r="H12" i="1"/>
  <c r="H11" i="1"/>
  <c r="H21" i="1"/>
  <c r="G72" i="1"/>
</calcChain>
</file>

<file path=xl/sharedStrings.xml><?xml version="1.0" encoding="utf-8"?>
<sst xmlns="http://schemas.openxmlformats.org/spreadsheetml/2006/main" count="310" uniqueCount="176">
  <si>
    <t>First Name</t>
  </si>
  <si>
    <t>Last Name</t>
  </si>
  <si>
    <t>Adrian</t>
  </si>
  <si>
    <t>Bell</t>
  </si>
  <si>
    <t>Alex</t>
  </si>
  <si>
    <t>Nicholas</t>
  </si>
  <si>
    <t>Andrew</t>
  </si>
  <si>
    <t>Frith</t>
  </si>
  <si>
    <t>Ben</t>
  </si>
  <si>
    <t>Shields</t>
  </si>
  <si>
    <t>Charlie</t>
  </si>
  <si>
    <t>Macdonald</t>
  </si>
  <si>
    <t>Chris</t>
  </si>
  <si>
    <t>Marsh</t>
  </si>
  <si>
    <t>Duncan</t>
  </si>
  <si>
    <t>Peacocke</t>
  </si>
  <si>
    <t>Ed</t>
  </si>
  <si>
    <t>Milne</t>
  </si>
  <si>
    <t>Fahad</t>
  </si>
  <si>
    <t>Saeed</t>
  </si>
  <si>
    <t>Geoff</t>
  </si>
  <si>
    <t>Strudwick</t>
  </si>
  <si>
    <t>George</t>
  </si>
  <si>
    <t>Hamilton</t>
  </si>
  <si>
    <t>Becher</t>
  </si>
  <si>
    <t>Hasib</t>
  </si>
  <si>
    <t>Tayef</t>
  </si>
  <si>
    <t>Ivan</t>
  </si>
  <si>
    <t>Gorridge</t>
  </si>
  <si>
    <t>James</t>
  </si>
  <si>
    <t>Scully</t>
  </si>
  <si>
    <t>Jeremy</t>
  </si>
  <si>
    <t>Gilling</t>
  </si>
  <si>
    <t>Joe</t>
  </si>
  <si>
    <t>Quarello</t>
  </si>
  <si>
    <t>Josh</t>
  </si>
  <si>
    <t>Crawford</t>
  </si>
  <si>
    <t>Kristin</t>
  </si>
  <si>
    <t>Hancock</t>
  </si>
  <si>
    <t>Majid</t>
  </si>
  <si>
    <t>Javed</t>
  </si>
  <si>
    <t>md sunnyul</t>
  </si>
  <si>
    <t>haque</t>
  </si>
  <si>
    <t>Michael</t>
  </si>
  <si>
    <t>Stone</t>
  </si>
  <si>
    <t>Mick</t>
  </si>
  <si>
    <t>Cooke</t>
  </si>
  <si>
    <t>Mike</t>
  </si>
  <si>
    <t>Wilson</t>
  </si>
  <si>
    <t>Nic</t>
  </si>
  <si>
    <t>Oconnor</t>
  </si>
  <si>
    <t>Oli</t>
  </si>
  <si>
    <t>Derum</t>
  </si>
  <si>
    <t>Pat</t>
  </si>
  <si>
    <t>Marzano</t>
  </si>
  <si>
    <t>Paul</t>
  </si>
  <si>
    <t>Bochard</t>
  </si>
  <si>
    <t>Peter</t>
  </si>
  <si>
    <t>Whitehead</t>
  </si>
  <si>
    <t>Puneet</t>
  </si>
  <si>
    <t>Sharma</t>
  </si>
  <si>
    <t>Ram</t>
  </si>
  <si>
    <t>Subbiah</t>
  </si>
  <si>
    <t>Richard</t>
  </si>
  <si>
    <t>Glover</t>
  </si>
  <si>
    <t>Sam</t>
  </si>
  <si>
    <t>Farrington</t>
  </si>
  <si>
    <t>Sarkis</t>
  </si>
  <si>
    <t>Yessayan</t>
  </si>
  <si>
    <t>Innings</t>
  </si>
  <si>
    <t>NO</t>
  </si>
  <si>
    <t>Runs</t>
  </si>
  <si>
    <t>HS</t>
  </si>
  <si>
    <t>Average</t>
  </si>
  <si>
    <t>Overs</t>
  </si>
  <si>
    <t>Maidens</t>
  </si>
  <si>
    <t>Wickets</t>
  </si>
  <si>
    <t>Wides</t>
  </si>
  <si>
    <t>NB</t>
  </si>
  <si>
    <t>2/18</t>
  </si>
  <si>
    <t>1/30</t>
  </si>
  <si>
    <t>5/20</t>
  </si>
  <si>
    <t>Mr</t>
  </si>
  <si>
    <t>Extras</t>
  </si>
  <si>
    <t>0/23</t>
  </si>
  <si>
    <t>3/27</t>
  </si>
  <si>
    <t>Strike Rate</t>
  </si>
  <si>
    <t>0/30</t>
  </si>
  <si>
    <t>2/15</t>
  </si>
  <si>
    <t>1*</t>
  </si>
  <si>
    <t>2/22</t>
  </si>
  <si>
    <t>1/16</t>
  </si>
  <si>
    <t>18*</t>
  </si>
  <si>
    <t>1/18</t>
  </si>
  <si>
    <t>1/28</t>
  </si>
  <si>
    <t>45*</t>
  </si>
  <si>
    <t>2/37</t>
  </si>
  <si>
    <t>0/19</t>
  </si>
  <si>
    <t>Best Bowling</t>
  </si>
  <si>
    <t>0/38</t>
  </si>
  <si>
    <t>Gordon</t>
  </si>
  <si>
    <t>Games</t>
  </si>
  <si>
    <t>Hunters Hill</t>
  </si>
  <si>
    <t>Rangers</t>
  </si>
  <si>
    <t>Sydney Windies</t>
  </si>
  <si>
    <t>CCNSW</t>
  </si>
  <si>
    <t>Syd Uni</t>
  </si>
  <si>
    <t>Kings XI</t>
  </si>
  <si>
    <t>Colleages</t>
  </si>
  <si>
    <t>Non-Descripts</t>
  </si>
  <si>
    <t>Total</t>
  </si>
  <si>
    <t>Diff</t>
  </si>
  <si>
    <t>Nicky</t>
  </si>
  <si>
    <t>Jhingan</t>
  </si>
  <si>
    <t>4*</t>
  </si>
  <si>
    <t>Totla</t>
  </si>
  <si>
    <t>diff</t>
  </si>
  <si>
    <t>1/13</t>
  </si>
  <si>
    <t>0/22</t>
  </si>
  <si>
    <t>0/26</t>
  </si>
  <si>
    <t>Outs</t>
  </si>
  <si>
    <t>Run Outs</t>
  </si>
  <si>
    <t>Yaralla</t>
  </si>
  <si>
    <t>St. George</t>
  </si>
  <si>
    <t>Check:</t>
  </si>
  <si>
    <t>Byes and Byes</t>
  </si>
  <si>
    <t>Mr.Leg</t>
  </si>
  <si>
    <t>2/24</t>
  </si>
  <si>
    <t>Rank</t>
  </si>
  <si>
    <t>Sort</t>
  </si>
  <si>
    <t>Rank 
Strike</t>
  </si>
  <si>
    <t>Rank 
Economy</t>
  </si>
  <si>
    <t>3/40</t>
  </si>
  <si>
    <t>2/57</t>
  </si>
  <si>
    <t>2/12</t>
  </si>
  <si>
    <t>0/5</t>
  </si>
  <si>
    <t>0/25</t>
  </si>
  <si>
    <t>Rajat</t>
  </si>
  <si>
    <t>Saini</t>
  </si>
  <si>
    <t>3/21</t>
  </si>
  <si>
    <t>1/23</t>
  </si>
  <si>
    <t>Charu</t>
  </si>
  <si>
    <t>2/13</t>
  </si>
  <si>
    <t>Hamza</t>
  </si>
  <si>
    <t>Mehmood</t>
  </si>
  <si>
    <t>1/17</t>
  </si>
  <si>
    <t>Rod</t>
  </si>
  <si>
    <t>Bowey</t>
  </si>
  <si>
    <t>22*</t>
  </si>
  <si>
    <t>Phil</t>
  </si>
  <si>
    <t>Marchonni</t>
  </si>
  <si>
    <t>Rank 
Wickets</t>
  </si>
  <si>
    <t>Qualify &gt; 5 innings</t>
  </si>
  <si>
    <t>2/16</t>
  </si>
  <si>
    <t>0/10</t>
  </si>
  <si>
    <t>2/21</t>
  </si>
  <si>
    <t>6/37</t>
  </si>
  <si>
    <t>Tie</t>
  </si>
  <si>
    <t>W</t>
  </si>
  <si>
    <t>L</t>
  </si>
  <si>
    <t># of innings bowled</t>
  </si>
  <si>
    <t>Qualify- bowl in 5 innings</t>
  </si>
  <si>
    <t>Ops Score</t>
  </si>
  <si>
    <t>Result</t>
  </si>
  <si>
    <t>Rank average</t>
  </si>
  <si>
    <t>NR - Rained out</t>
  </si>
  <si>
    <t>Ducks</t>
  </si>
  <si>
    <t>Beavers Cricket Club Sydney Inc.</t>
  </si>
  <si>
    <t>Batting averages</t>
  </si>
  <si>
    <t>Season 2013/14</t>
  </si>
  <si>
    <t>1st</t>
  </si>
  <si>
    <t>2nd</t>
  </si>
  <si>
    <t>3rd</t>
  </si>
  <si>
    <t xml:space="preserve">Bowling averages </t>
  </si>
  <si>
    <t>Econ.</t>
  </si>
  <si>
    <t>Avg.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</si>
</sst>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quotePrefix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right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0" fillId="0" borderId="8" xfId="0" applyBorder="1"/>
    <xf numFmtId="164" fontId="0" fillId="0" borderId="9" xfId="0" applyNumberFormat="1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right"/>
    </xf>
    <xf numFmtId="0" fontId="0" fillId="0" borderId="12" xfId="0" applyBorder="1"/>
    <xf numFmtId="0" fontId="0" fillId="0" borderId="13" xfId="0" applyBorder="1" applyAlignment="1">
      <alignment horizontal="right"/>
    </xf>
    <xf numFmtId="0" fontId="0" fillId="0" borderId="2" xfId="0" applyFill="1" applyBorder="1" applyAlignment="1">
      <alignment horizontal="right"/>
    </xf>
    <xf numFmtId="164" fontId="0" fillId="0" borderId="2" xfId="0" applyNumberFormat="1" applyFill="1" applyBorder="1" applyAlignment="1">
      <alignment horizontal="right"/>
    </xf>
    <xf numFmtId="164" fontId="0" fillId="0" borderId="14" xfId="0" applyNumberFormat="1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164" fontId="0" fillId="0" borderId="9" xfId="0" applyNumberFormat="1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0" xfId="0" applyFont="1"/>
    <xf numFmtId="0" fontId="2" fillId="0" borderId="6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1" fontId="0" fillId="0" borderId="9" xfId="0" applyNumberFormat="1" applyBorder="1" applyAlignment="1">
      <alignment horizontal="right"/>
    </xf>
    <xf numFmtId="1" fontId="0" fillId="0" borderId="9" xfId="0" applyNumberFormat="1" applyFill="1" applyBorder="1" applyAlignment="1">
      <alignment horizontal="right"/>
    </xf>
    <xf numFmtId="0" fontId="0" fillId="0" borderId="9" xfId="0" applyBorder="1" applyAlignment="1">
      <alignment horizontal="right"/>
    </xf>
    <xf numFmtId="1" fontId="0" fillId="0" borderId="13" xfId="0" applyNumberFormat="1" applyBorder="1" applyAlignment="1">
      <alignment horizontal="right"/>
    </xf>
    <xf numFmtId="1" fontId="0" fillId="0" borderId="13" xfId="0" applyNumberFormat="1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2" fillId="0" borderId="15" xfId="0" applyFont="1" applyBorder="1" applyAlignment="1">
      <alignment horizontal="right" wrapText="1"/>
    </xf>
    <xf numFmtId="1" fontId="0" fillId="0" borderId="16" xfId="0" applyNumberFormat="1" applyFill="1" applyBorder="1" applyAlignment="1">
      <alignment horizontal="right"/>
    </xf>
    <xf numFmtId="0" fontId="0" fillId="0" borderId="16" xfId="0" applyFill="1" applyBorder="1" applyAlignment="1">
      <alignment horizontal="right"/>
    </xf>
    <xf numFmtId="0" fontId="0" fillId="0" borderId="16" xfId="0" applyBorder="1" applyAlignment="1">
      <alignment horizontal="right"/>
    </xf>
    <xf numFmtId="1" fontId="0" fillId="0" borderId="2" xfId="0" applyNumberFormat="1" applyFill="1" applyBorder="1" applyAlignment="1">
      <alignment horizontal="right"/>
    </xf>
    <xf numFmtId="1" fontId="0" fillId="0" borderId="4" xfId="0" applyNumberFormat="1" applyFill="1" applyBorder="1" applyAlignment="1">
      <alignment horizontal="right"/>
    </xf>
    <xf numFmtId="1" fontId="0" fillId="0" borderId="17" xfId="0" applyNumberFormat="1" applyFill="1" applyBorder="1" applyAlignment="1">
      <alignment horizontal="right"/>
    </xf>
    <xf numFmtId="0" fontId="0" fillId="0" borderId="18" xfId="0" applyFill="1" applyBorder="1" applyAlignment="1">
      <alignment horizontal="right"/>
    </xf>
    <xf numFmtId="0" fontId="0" fillId="0" borderId="0" xfId="0" applyAlignment="1">
      <alignment horizontal="left"/>
    </xf>
    <xf numFmtId="0" fontId="2" fillId="0" borderId="6" xfId="0" applyFont="1" applyBorder="1" applyAlignment="1">
      <alignment wrapText="1"/>
    </xf>
    <xf numFmtId="0" fontId="4" fillId="0" borderId="0" xfId="0" applyFont="1" applyAlignment="1">
      <alignment horizontal="left"/>
    </xf>
    <xf numFmtId="164" fontId="0" fillId="2" borderId="2" xfId="0" applyNumberFormat="1" applyFill="1" applyBorder="1" applyAlignment="1">
      <alignment horizontal="right"/>
    </xf>
    <xf numFmtId="0" fontId="0" fillId="2" borderId="4" xfId="0" applyFill="1" applyBorder="1" applyAlignment="1">
      <alignment horizontal="right"/>
    </xf>
    <xf numFmtId="164" fontId="0" fillId="2" borderId="14" xfId="0" applyNumberFormat="1" applyFill="1" applyBorder="1" applyAlignment="1">
      <alignment horizontal="right"/>
    </xf>
    <xf numFmtId="164" fontId="0" fillId="3" borderId="2" xfId="0" applyNumberFormat="1" applyFill="1" applyBorder="1" applyAlignment="1">
      <alignment horizontal="right"/>
    </xf>
    <xf numFmtId="164" fontId="0" fillId="3" borderId="14" xfId="0" applyNumberFormat="1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2" borderId="4" xfId="0" quotePrefix="1" applyFill="1" applyBorder="1" applyAlignment="1">
      <alignment horizontal="right"/>
    </xf>
    <xf numFmtId="0" fontId="0" fillId="3" borderId="2" xfId="0" quotePrefix="1" applyFill="1" applyBorder="1" applyAlignment="1">
      <alignment horizontal="right"/>
    </xf>
    <xf numFmtId="0" fontId="2" fillId="2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4" borderId="0" xfId="0" applyFont="1" applyFill="1" applyAlignment="1">
      <alignment horizontal="right"/>
    </xf>
    <xf numFmtId="164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0" fillId="4" borderId="2" xfId="0" quotePrefix="1" applyFill="1" applyBorder="1" applyAlignment="1">
      <alignment horizontal="right"/>
    </xf>
    <xf numFmtId="164" fontId="0" fillId="4" borderId="14" xfId="0" applyNumberFormat="1" applyFill="1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right"/>
    </xf>
    <xf numFmtId="0" fontId="0" fillId="0" borderId="20" xfId="0" quotePrefix="1" applyBorder="1" applyAlignment="1">
      <alignment horizontal="right"/>
    </xf>
    <xf numFmtId="164" fontId="0" fillId="0" borderId="20" xfId="0" applyNumberFormat="1" applyFill="1" applyBorder="1" applyAlignment="1">
      <alignment horizontal="right"/>
    </xf>
    <xf numFmtId="164" fontId="0" fillId="0" borderId="2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38100</xdr:rowOff>
    </xdr:from>
    <xdr:to>
      <xdr:col>1</xdr:col>
      <xdr:colOff>409575</xdr:colOff>
      <xdr:row>4</xdr:row>
      <xdr:rowOff>75141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"/>
          <a:ext cx="1095375" cy="10798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38100</xdr:rowOff>
    </xdr:from>
    <xdr:to>
      <xdr:col>1</xdr:col>
      <xdr:colOff>409575</xdr:colOff>
      <xdr:row>4</xdr:row>
      <xdr:rowOff>75141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"/>
          <a:ext cx="1095375" cy="10847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72"/>
  <sheetViews>
    <sheetView tabSelected="1" view="pageBreakPreview" zoomScale="115" zoomScaleNormal="100" zoomScaleSheetLayoutView="115" workbookViewId="0"/>
  </sheetViews>
  <sheetFormatPr defaultRowHeight="12.75" x14ac:dyDescent="0.2"/>
  <cols>
    <col min="1" max="1" width="10.5703125" bestFit="1" customWidth="1"/>
    <col min="2" max="2" width="10" bestFit="1" customWidth="1"/>
    <col min="3" max="21" width="9.140625" style="1"/>
  </cols>
  <sheetData>
    <row r="2" spans="1:10" ht="23.25" x14ac:dyDescent="0.35">
      <c r="C2" s="46" t="s">
        <v>167</v>
      </c>
    </row>
    <row r="3" spans="1:10" ht="23.25" x14ac:dyDescent="0.35">
      <c r="C3" s="46" t="s">
        <v>168</v>
      </c>
    </row>
    <row r="4" spans="1:10" ht="23.25" x14ac:dyDescent="0.35">
      <c r="C4" s="46" t="s">
        <v>169</v>
      </c>
    </row>
    <row r="5" spans="1:10" ht="13.5" thickBot="1" x14ac:dyDescent="0.25"/>
    <row r="6" spans="1:10" ht="13.5" thickBot="1" x14ac:dyDescent="0.25">
      <c r="A6" s="9" t="s">
        <v>0</v>
      </c>
      <c r="B6" s="10" t="s">
        <v>1</v>
      </c>
      <c r="C6" s="11" t="s">
        <v>69</v>
      </c>
      <c r="D6" s="11" t="s">
        <v>70</v>
      </c>
      <c r="E6" s="11" t="s">
        <v>166</v>
      </c>
      <c r="F6" s="11" t="s">
        <v>71</v>
      </c>
      <c r="G6" s="11" t="s">
        <v>72</v>
      </c>
      <c r="H6" s="12" t="s">
        <v>73</v>
      </c>
      <c r="I6" s="12" t="s">
        <v>128</v>
      </c>
      <c r="J6" s="12" t="s">
        <v>129</v>
      </c>
    </row>
    <row r="7" spans="1:10" x14ac:dyDescent="0.2">
      <c r="A7" s="18" t="s">
        <v>6</v>
      </c>
      <c r="B7" s="7" t="s">
        <v>7</v>
      </c>
      <c r="C7" s="8">
        <f>1+1+1+1+1+1+1+1+1+1</f>
        <v>10</v>
      </c>
      <c r="D7" s="23">
        <v>1</v>
      </c>
      <c r="E7" s="23"/>
      <c r="F7" s="8">
        <f>18+30+34+25+4+42+21+71+4+65</f>
        <v>314</v>
      </c>
      <c r="G7" s="23">
        <v>71</v>
      </c>
      <c r="H7" s="24">
        <f t="shared" ref="H7:H39" si="0">IF(C7-D7&gt;0,F7/(C7-D7),"No Avg")</f>
        <v>34.888888888888886</v>
      </c>
      <c r="I7" s="34">
        <v>1</v>
      </c>
      <c r="J7" s="34">
        <v>3</v>
      </c>
    </row>
    <row r="8" spans="1:10" x14ac:dyDescent="0.2">
      <c r="A8" s="13" t="s">
        <v>14</v>
      </c>
      <c r="B8" s="3" t="s">
        <v>15</v>
      </c>
      <c r="C8" s="4">
        <f>1+1+1+1+1+1</f>
        <v>6</v>
      </c>
      <c r="D8" s="20">
        <v>1</v>
      </c>
      <c r="E8" s="20">
        <v>1</v>
      </c>
      <c r="F8" s="4">
        <f>4+20+84+0+17+16</f>
        <v>141</v>
      </c>
      <c r="G8" s="20">
        <v>84</v>
      </c>
      <c r="H8" s="24">
        <f t="shared" si="0"/>
        <v>28.2</v>
      </c>
      <c r="I8" s="31">
        <v>2</v>
      </c>
      <c r="J8" s="30">
        <v>8</v>
      </c>
    </row>
    <row r="9" spans="1:10" x14ac:dyDescent="0.2">
      <c r="A9" s="13" t="s">
        <v>16</v>
      </c>
      <c r="B9" s="3" t="s">
        <v>17</v>
      </c>
      <c r="C9" s="4">
        <f>1+1+1+1+1+1</f>
        <v>6</v>
      </c>
      <c r="D9" s="20">
        <v>2</v>
      </c>
      <c r="E9" s="20"/>
      <c r="F9" s="4">
        <f>14+29+43+20+1+1</f>
        <v>108</v>
      </c>
      <c r="G9" s="20">
        <v>43</v>
      </c>
      <c r="H9" s="24">
        <f t="shared" si="0"/>
        <v>27</v>
      </c>
      <c r="I9" s="31">
        <v>3</v>
      </c>
      <c r="J9" s="31">
        <v>9</v>
      </c>
    </row>
    <row r="10" spans="1:10" x14ac:dyDescent="0.2">
      <c r="A10" s="13" t="s">
        <v>53</v>
      </c>
      <c r="B10" s="3" t="s">
        <v>54</v>
      </c>
      <c r="C10" s="4">
        <f>1+1+1+1+1+1+1+1+1</f>
        <v>9</v>
      </c>
      <c r="D10" s="20"/>
      <c r="E10" s="20"/>
      <c r="F10" s="4">
        <f>50+25+8+12+50+56+18+11+9</f>
        <v>239</v>
      </c>
      <c r="G10" s="20">
        <v>56</v>
      </c>
      <c r="H10" s="24">
        <f t="shared" si="0"/>
        <v>26.555555555555557</v>
      </c>
      <c r="I10" s="31">
        <v>4</v>
      </c>
      <c r="J10" s="33">
        <v>32</v>
      </c>
    </row>
    <row r="11" spans="1:10" x14ac:dyDescent="0.2">
      <c r="A11" s="13" t="s">
        <v>20</v>
      </c>
      <c r="B11" s="3" t="s">
        <v>21</v>
      </c>
      <c r="C11" s="4">
        <f>1+1+1+1+1+1</f>
        <v>6</v>
      </c>
      <c r="D11" s="20"/>
      <c r="E11" s="20"/>
      <c r="F11" s="4">
        <f>12+7+60+44+12+7</f>
        <v>142</v>
      </c>
      <c r="G11" s="20">
        <v>60</v>
      </c>
      <c r="H11" s="24">
        <f t="shared" si="0"/>
        <v>23.666666666666668</v>
      </c>
      <c r="I11" s="31">
        <v>5</v>
      </c>
      <c r="J11" s="30">
        <v>11</v>
      </c>
    </row>
    <row r="12" spans="1:10" x14ac:dyDescent="0.2">
      <c r="A12" s="13" t="s">
        <v>23</v>
      </c>
      <c r="B12" s="3" t="s">
        <v>24</v>
      </c>
      <c r="C12" s="4">
        <f>1+1+1+1+1+1</f>
        <v>6</v>
      </c>
      <c r="D12" s="20">
        <f>1+1</f>
        <v>2</v>
      </c>
      <c r="E12" s="20"/>
      <c r="F12" s="4">
        <f>3+45+6+7+15+15</f>
        <v>91</v>
      </c>
      <c r="G12" s="20" t="s">
        <v>95</v>
      </c>
      <c r="H12" s="24">
        <f t="shared" si="0"/>
        <v>22.75</v>
      </c>
      <c r="I12" s="31">
        <v>6</v>
      </c>
      <c r="J12" s="32">
        <v>13</v>
      </c>
    </row>
    <row r="13" spans="1:10" x14ac:dyDescent="0.2">
      <c r="A13" s="13" t="s">
        <v>51</v>
      </c>
      <c r="B13" s="3" t="s">
        <v>52</v>
      </c>
      <c r="C13" s="4">
        <f>1+1+1+1+1+1</f>
        <v>6</v>
      </c>
      <c r="D13" s="20"/>
      <c r="E13" s="20">
        <v>2</v>
      </c>
      <c r="F13" s="4">
        <f>51+29+0+22+0+20</f>
        <v>122</v>
      </c>
      <c r="G13" s="20">
        <v>51</v>
      </c>
      <c r="H13" s="24">
        <f t="shared" si="0"/>
        <v>20.333333333333332</v>
      </c>
      <c r="I13" s="31">
        <v>7</v>
      </c>
      <c r="J13" s="19">
        <v>31</v>
      </c>
    </row>
    <row r="14" spans="1:10" x14ac:dyDescent="0.2">
      <c r="A14" s="13" t="s">
        <v>39</v>
      </c>
      <c r="B14" s="3" t="s">
        <v>40</v>
      </c>
      <c r="C14" s="4">
        <f>1+1+1+1+1</f>
        <v>5</v>
      </c>
      <c r="D14" s="20"/>
      <c r="E14" s="20"/>
      <c r="F14" s="4">
        <f>62+3+7+4+2</f>
        <v>78</v>
      </c>
      <c r="G14" s="20">
        <v>62</v>
      </c>
      <c r="H14" s="24">
        <f t="shared" si="0"/>
        <v>15.6</v>
      </c>
      <c r="I14" s="31">
        <v>8</v>
      </c>
      <c r="J14" s="31">
        <v>24</v>
      </c>
    </row>
    <row r="15" spans="1:10" x14ac:dyDescent="0.2">
      <c r="A15" s="13" t="s">
        <v>8</v>
      </c>
      <c r="B15" s="3" t="s">
        <v>9</v>
      </c>
      <c r="C15" s="4">
        <f>1+1+1+1+1+1+1+1+1+1+1+1</f>
        <v>12</v>
      </c>
      <c r="D15" s="20">
        <f>1+1</f>
        <v>2</v>
      </c>
      <c r="E15" s="20"/>
      <c r="F15" s="4">
        <f>27+1+7+8+20+20+7+33+1+14+6+6</f>
        <v>150</v>
      </c>
      <c r="G15" s="20">
        <v>33</v>
      </c>
      <c r="H15" s="24">
        <f t="shared" si="0"/>
        <v>15</v>
      </c>
      <c r="I15" s="31">
        <v>9</v>
      </c>
      <c r="J15" s="32">
        <v>4</v>
      </c>
    </row>
    <row r="16" spans="1:10" x14ac:dyDescent="0.2">
      <c r="A16" s="13" t="s">
        <v>59</v>
      </c>
      <c r="B16" s="3" t="s">
        <v>60</v>
      </c>
      <c r="C16" s="4">
        <f>1+1+1+1+1+1+1+1</f>
        <v>8</v>
      </c>
      <c r="D16" s="20">
        <f>1+1</f>
        <v>2</v>
      </c>
      <c r="E16" s="20">
        <v>1</v>
      </c>
      <c r="F16" s="4">
        <f>1+11+20+16+4+2+12+0</f>
        <v>66</v>
      </c>
      <c r="G16" s="20">
        <v>20</v>
      </c>
      <c r="H16" s="24">
        <f t="shared" si="0"/>
        <v>11</v>
      </c>
      <c r="I16" s="31">
        <v>10</v>
      </c>
      <c r="J16" s="34">
        <v>36</v>
      </c>
    </row>
    <row r="17" spans="1:13" x14ac:dyDescent="0.2">
      <c r="A17" s="13" t="s">
        <v>57</v>
      </c>
      <c r="B17" s="3" t="s">
        <v>58</v>
      </c>
      <c r="C17" s="4">
        <f>1+1+1+1+1+1+1</f>
        <v>7</v>
      </c>
      <c r="D17" s="20"/>
      <c r="E17" s="20">
        <v>1</v>
      </c>
      <c r="F17" s="4">
        <f>19+6+18+19+3+0+9</f>
        <v>74</v>
      </c>
      <c r="G17" s="20">
        <v>19</v>
      </c>
      <c r="H17" s="24">
        <f t="shared" si="0"/>
        <v>10.571428571428571</v>
      </c>
      <c r="I17" s="31">
        <v>11</v>
      </c>
      <c r="J17" s="32">
        <v>34</v>
      </c>
    </row>
    <row r="18" spans="1:13" x14ac:dyDescent="0.2">
      <c r="A18" s="13" t="s">
        <v>27</v>
      </c>
      <c r="B18" s="3" t="s">
        <v>28</v>
      </c>
      <c r="C18" s="4">
        <f>1+1+1+1+1+1+1+1+1+1</f>
        <v>10</v>
      </c>
      <c r="D18" s="20">
        <v>1</v>
      </c>
      <c r="E18" s="20">
        <v>1</v>
      </c>
      <c r="F18" s="4">
        <f>13+7+4+0+30+1+4+4+6+24</f>
        <v>93</v>
      </c>
      <c r="G18" s="20">
        <v>30</v>
      </c>
      <c r="H18" s="24">
        <f t="shared" si="0"/>
        <v>10.333333333333334</v>
      </c>
      <c r="I18" s="31">
        <v>12</v>
      </c>
      <c r="J18" s="32">
        <v>16</v>
      </c>
    </row>
    <row r="19" spans="1:13" x14ac:dyDescent="0.2">
      <c r="A19" s="13" t="s">
        <v>55</v>
      </c>
      <c r="B19" s="3" t="s">
        <v>56</v>
      </c>
      <c r="C19" s="4">
        <f>1+1+1+1+1+1+1</f>
        <v>7</v>
      </c>
      <c r="D19" s="20">
        <v>2</v>
      </c>
      <c r="E19" s="20">
        <v>4</v>
      </c>
      <c r="F19" s="4">
        <f>9+18+0+0+3+0+0</f>
        <v>30</v>
      </c>
      <c r="G19" s="20" t="s">
        <v>92</v>
      </c>
      <c r="H19" s="24">
        <f t="shared" si="0"/>
        <v>6</v>
      </c>
      <c r="I19" s="31">
        <v>13</v>
      </c>
      <c r="J19" s="34">
        <v>33</v>
      </c>
    </row>
    <row r="20" spans="1:13" x14ac:dyDescent="0.2">
      <c r="A20" s="13" t="s">
        <v>143</v>
      </c>
      <c r="B20" s="3" t="s">
        <v>144</v>
      </c>
      <c r="C20" s="4">
        <f>1+1</f>
        <v>2</v>
      </c>
      <c r="D20" s="20">
        <v>1</v>
      </c>
      <c r="E20" s="20"/>
      <c r="F20" s="4">
        <v>45</v>
      </c>
      <c r="G20" s="20">
        <v>45</v>
      </c>
      <c r="H20" s="24">
        <f t="shared" si="0"/>
        <v>45</v>
      </c>
      <c r="I20" s="31">
        <v>14</v>
      </c>
      <c r="J20" s="30">
        <v>14</v>
      </c>
      <c r="M20" s="1">
        <f>8*24</f>
        <v>192</v>
      </c>
    </row>
    <row r="21" spans="1:13" x14ac:dyDescent="0.2">
      <c r="A21" s="13" t="s">
        <v>65</v>
      </c>
      <c r="B21" s="3" t="s">
        <v>66</v>
      </c>
      <c r="C21" s="4">
        <f>1+1+1</f>
        <v>3</v>
      </c>
      <c r="D21" s="20"/>
      <c r="E21" s="20"/>
      <c r="F21" s="4">
        <f>67+12+23</f>
        <v>102</v>
      </c>
      <c r="G21" s="20">
        <v>67</v>
      </c>
      <c r="H21" s="24">
        <f t="shared" si="0"/>
        <v>34</v>
      </c>
      <c r="I21" s="31">
        <v>15</v>
      </c>
      <c r="J21" s="30">
        <v>41</v>
      </c>
    </row>
    <row r="22" spans="1:13" x14ac:dyDescent="0.2">
      <c r="A22" s="13" t="s">
        <v>141</v>
      </c>
      <c r="B22" s="3" t="s">
        <v>141</v>
      </c>
      <c r="C22" s="4">
        <v>1</v>
      </c>
      <c r="D22" s="20"/>
      <c r="E22" s="20"/>
      <c r="F22" s="4">
        <v>16</v>
      </c>
      <c r="G22" s="20">
        <v>16</v>
      </c>
      <c r="H22" s="24">
        <f t="shared" si="0"/>
        <v>16</v>
      </c>
      <c r="I22" s="31">
        <v>16</v>
      </c>
      <c r="J22" s="33">
        <v>5</v>
      </c>
    </row>
    <row r="23" spans="1:13" x14ac:dyDescent="0.2">
      <c r="A23" s="13" t="s">
        <v>137</v>
      </c>
      <c r="B23" s="3" t="s">
        <v>138</v>
      </c>
      <c r="C23" s="4">
        <f>1+1+1</f>
        <v>3</v>
      </c>
      <c r="D23" s="20">
        <v>1</v>
      </c>
      <c r="E23" s="20"/>
      <c r="F23" s="4">
        <f>22+3+5</f>
        <v>30</v>
      </c>
      <c r="G23" s="20" t="s">
        <v>148</v>
      </c>
      <c r="H23" s="24">
        <f t="shared" si="0"/>
        <v>15</v>
      </c>
      <c r="I23" s="31">
        <v>17</v>
      </c>
      <c r="J23" s="30">
        <v>38</v>
      </c>
    </row>
    <row r="24" spans="1:13" x14ac:dyDescent="0.2">
      <c r="A24" s="13" t="s">
        <v>35</v>
      </c>
      <c r="B24" s="3" t="s">
        <v>36</v>
      </c>
      <c r="C24" s="4">
        <f>1+1+1+1</f>
        <v>4</v>
      </c>
      <c r="D24" s="20">
        <v>1</v>
      </c>
      <c r="E24" s="20">
        <v>1</v>
      </c>
      <c r="F24" s="4">
        <f>9+2+0+31</f>
        <v>42</v>
      </c>
      <c r="G24" s="20">
        <v>31</v>
      </c>
      <c r="H24" s="24">
        <f t="shared" si="0"/>
        <v>14</v>
      </c>
      <c r="I24" s="31">
        <v>18</v>
      </c>
      <c r="J24" s="31">
        <v>21</v>
      </c>
    </row>
    <row r="25" spans="1:13" x14ac:dyDescent="0.2">
      <c r="A25" s="13" t="s">
        <v>18</v>
      </c>
      <c r="B25" s="3" t="s">
        <v>19</v>
      </c>
      <c r="C25" s="4">
        <f>1+1+1</f>
        <v>3</v>
      </c>
      <c r="D25" s="20">
        <v>1</v>
      </c>
      <c r="E25" s="20">
        <v>1</v>
      </c>
      <c r="F25" s="4">
        <f>23+2+0</f>
        <v>25</v>
      </c>
      <c r="G25" s="20">
        <v>23</v>
      </c>
      <c r="H25" s="24">
        <f t="shared" si="0"/>
        <v>12.5</v>
      </c>
      <c r="I25" s="31">
        <v>19</v>
      </c>
      <c r="J25" s="19">
        <v>10</v>
      </c>
    </row>
    <row r="26" spans="1:13" x14ac:dyDescent="0.2">
      <c r="A26" s="13" t="s">
        <v>25</v>
      </c>
      <c r="B26" s="3" t="s">
        <v>26</v>
      </c>
      <c r="C26" s="4">
        <v>1</v>
      </c>
      <c r="D26" s="20"/>
      <c r="E26" s="20"/>
      <c r="F26" s="4">
        <v>11</v>
      </c>
      <c r="G26" s="20">
        <v>11</v>
      </c>
      <c r="H26" s="24">
        <f t="shared" si="0"/>
        <v>11</v>
      </c>
      <c r="I26" s="31">
        <v>20</v>
      </c>
      <c r="J26" s="31">
        <v>15</v>
      </c>
    </row>
    <row r="27" spans="1:13" x14ac:dyDescent="0.2">
      <c r="A27" s="13" t="s">
        <v>49</v>
      </c>
      <c r="B27" s="3" t="s">
        <v>50</v>
      </c>
      <c r="C27" s="4">
        <v>1</v>
      </c>
      <c r="D27" s="20"/>
      <c r="E27" s="20"/>
      <c r="F27" s="4">
        <v>9</v>
      </c>
      <c r="G27" s="20">
        <v>9</v>
      </c>
      <c r="H27" s="24">
        <f t="shared" si="0"/>
        <v>9</v>
      </c>
      <c r="I27" s="31">
        <v>21</v>
      </c>
      <c r="J27" s="30">
        <v>29</v>
      </c>
    </row>
    <row r="28" spans="1:13" x14ac:dyDescent="0.2">
      <c r="A28" s="13" t="s">
        <v>4</v>
      </c>
      <c r="B28" s="3" t="s">
        <v>5</v>
      </c>
      <c r="C28" s="4">
        <f>1</f>
        <v>1</v>
      </c>
      <c r="D28" s="20"/>
      <c r="E28" s="20"/>
      <c r="F28" s="4">
        <v>6</v>
      </c>
      <c r="G28" s="4">
        <v>6</v>
      </c>
      <c r="H28" s="14">
        <f t="shared" si="0"/>
        <v>6</v>
      </c>
      <c r="I28" s="31">
        <v>22</v>
      </c>
      <c r="J28" s="33">
        <v>2</v>
      </c>
    </row>
    <row r="29" spans="1:13" x14ac:dyDescent="0.2">
      <c r="A29" s="13" t="s">
        <v>29</v>
      </c>
      <c r="B29" s="3" t="s">
        <v>30</v>
      </c>
      <c r="C29" s="4">
        <f>1+1+1+1</f>
        <v>4</v>
      </c>
      <c r="D29" s="20">
        <v>1</v>
      </c>
      <c r="E29" s="20">
        <v>1</v>
      </c>
      <c r="F29" s="4">
        <f>0+1+12+1</f>
        <v>14</v>
      </c>
      <c r="G29" s="20">
        <v>12</v>
      </c>
      <c r="H29" s="24">
        <f t="shared" si="0"/>
        <v>4.666666666666667</v>
      </c>
      <c r="I29" s="31">
        <v>23</v>
      </c>
      <c r="J29" s="31">
        <v>18</v>
      </c>
    </row>
    <row r="30" spans="1:13" x14ac:dyDescent="0.2">
      <c r="A30" s="13" t="s">
        <v>61</v>
      </c>
      <c r="B30" s="3" t="s">
        <v>62</v>
      </c>
      <c r="C30" s="4">
        <f>1+1+1+1</f>
        <v>4</v>
      </c>
      <c r="D30" s="20"/>
      <c r="E30" s="20">
        <v>1</v>
      </c>
      <c r="F30" s="4">
        <f>6+0+4+1</f>
        <v>11</v>
      </c>
      <c r="G30" s="20">
        <v>6</v>
      </c>
      <c r="H30" s="24">
        <f t="shared" si="0"/>
        <v>2.75</v>
      </c>
      <c r="I30" s="31">
        <v>24</v>
      </c>
      <c r="J30" s="32">
        <v>37</v>
      </c>
    </row>
    <row r="31" spans="1:13" x14ac:dyDescent="0.2">
      <c r="A31" s="13" t="s">
        <v>33</v>
      </c>
      <c r="B31" s="3" t="s">
        <v>34</v>
      </c>
      <c r="C31" s="4">
        <v>1</v>
      </c>
      <c r="D31" s="20"/>
      <c r="E31" s="20"/>
      <c r="F31" s="4">
        <v>2</v>
      </c>
      <c r="G31" s="20">
        <v>2</v>
      </c>
      <c r="H31" s="24">
        <f t="shared" si="0"/>
        <v>2</v>
      </c>
      <c r="I31" s="31">
        <v>25</v>
      </c>
      <c r="J31" s="33">
        <v>20</v>
      </c>
    </row>
    <row r="32" spans="1:13" x14ac:dyDescent="0.2">
      <c r="A32" s="13" t="s">
        <v>2</v>
      </c>
      <c r="B32" s="3" t="s">
        <v>3</v>
      </c>
      <c r="C32" s="4">
        <f>1+1+1</f>
        <v>3</v>
      </c>
      <c r="D32" s="20">
        <v>1</v>
      </c>
      <c r="E32" s="20">
        <v>1</v>
      </c>
      <c r="F32" s="4">
        <f>3+0</f>
        <v>3</v>
      </c>
      <c r="G32" s="4">
        <v>3</v>
      </c>
      <c r="H32" s="14">
        <f t="shared" si="0"/>
        <v>1.5</v>
      </c>
      <c r="I32" s="31">
        <v>26</v>
      </c>
      <c r="J32" s="32">
        <v>1</v>
      </c>
    </row>
    <row r="33" spans="1:10" x14ac:dyDescent="0.2">
      <c r="A33" s="13" t="s">
        <v>35</v>
      </c>
      <c r="B33" s="3" t="s">
        <v>100</v>
      </c>
      <c r="C33" s="4">
        <f>1+1</f>
        <v>2</v>
      </c>
      <c r="D33" s="20"/>
      <c r="E33" s="20">
        <v>2</v>
      </c>
      <c r="F33" s="4">
        <f>0+0</f>
        <v>0</v>
      </c>
      <c r="G33" s="20">
        <v>0</v>
      </c>
      <c r="H33" s="24">
        <f t="shared" si="0"/>
        <v>0</v>
      </c>
      <c r="I33" s="31">
        <v>27</v>
      </c>
      <c r="J33" s="32">
        <v>22</v>
      </c>
    </row>
    <row r="34" spans="1:10" x14ac:dyDescent="0.2">
      <c r="A34" s="13" t="s">
        <v>149</v>
      </c>
      <c r="B34" s="3" t="s">
        <v>150</v>
      </c>
      <c r="C34" s="4">
        <v>1</v>
      </c>
      <c r="D34" s="20"/>
      <c r="E34" s="20">
        <v>1</v>
      </c>
      <c r="F34" s="4">
        <v>0</v>
      </c>
      <c r="G34" s="20">
        <v>0</v>
      </c>
      <c r="H34" s="24">
        <f t="shared" si="0"/>
        <v>0</v>
      </c>
      <c r="I34" s="31">
        <v>28</v>
      </c>
      <c r="J34" s="33">
        <v>35</v>
      </c>
    </row>
    <row r="35" spans="1:10" x14ac:dyDescent="0.2">
      <c r="A35" s="13" t="s">
        <v>146</v>
      </c>
      <c r="B35" s="3" t="s">
        <v>147</v>
      </c>
      <c r="C35" s="4">
        <v>1</v>
      </c>
      <c r="D35" s="20"/>
      <c r="E35" s="20">
        <v>1</v>
      </c>
      <c r="F35" s="4">
        <v>0</v>
      </c>
      <c r="G35" s="20">
        <v>0</v>
      </c>
      <c r="H35" s="24">
        <f t="shared" si="0"/>
        <v>0</v>
      </c>
      <c r="I35" s="31">
        <v>29</v>
      </c>
      <c r="J35" s="31">
        <v>39</v>
      </c>
    </row>
    <row r="36" spans="1:10" x14ac:dyDescent="0.2">
      <c r="A36" s="13" t="s">
        <v>29</v>
      </c>
      <c r="B36" s="3" t="s">
        <v>14</v>
      </c>
      <c r="C36" s="4">
        <v>1</v>
      </c>
      <c r="D36" s="20">
        <v>1</v>
      </c>
      <c r="E36" s="20"/>
      <c r="F36" s="4">
        <v>1</v>
      </c>
      <c r="G36" s="20" t="s">
        <v>89</v>
      </c>
      <c r="H36" s="24" t="str">
        <f t="shared" si="0"/>
        <v>No Avg</v>
      </c>
      <c r="I36" s="31">
        <v>30</v>
      </c>
      <c r="J36" s="30">
        <v>17</v>
      </c>
    </row>
    <row r="37" spans="1:10" x14ac:dyDescent="0.2">
      <c r="A37" s="13" t="s">
        <v>31</v>
      </c>
      <c r="B37" s="3" t="s">
        <v>32</v>
      </c>
      <c r="C37" s="4">
        <f>1+1+1</f>
        <v>3</v>
      </c>
      <c r="D37" s="20">
        <f>1+1+1</f>
        <v>3</v>
      </c>
      <c r="E37" s="20"/>
      <c r="F37" s="4">
        <v>1</v>
      </c>
      <c r="G37" s="20" t="s">
        <v>89</v>
      </c>
      <c r="H37" s="24" t="str">
        <f t="shared" si="0"/>
        <v>No Avg</v>
      </c>
      <c r="I37" s="31">
        <v>30</v>
      </c>
      <c r="J37" s="19">
        <v>19</v>
      </c>
    </row>
    <row r="38" spans="1:10" x14ac:dyDescent="0.2">
      <c r="A38" s="13" t="s">
        <v>112</v>
      </c>
      <c r="B38" s="3" t="s">
        <v>113</v>
      </c>
      <c r="C38" s="4">
        <v>1</v>
      </c>
      <c r="D38" s="20">
        <v>1</v>
      </c>
      <c r="E38" s="20"/>
      <c r="F38" s="4">
        <v>4</v>
      </c>
      <c r="G38" s="20" t="s">
        <v>114</v>
      </c>
      <c r="H38" s="24" t="str">
        <f t="shared" si="0"/>
        <v>No Avg</v>
      </c>
      <c r="I38" s="31">
        <v>30</v>
      </c>
      <c r="J38" s="31">
        <v>30</v>
      </c>
    </row>
    <row r="39" spans="1:10" x14ac:dyDescent="0.2">
      <c r="A39" s="13" t="s">
        <v>82</v>
      </c>
      <c r="B39" s="3" t="s">
        <v>83</v>
      </c>
      <c r="C39" s="4"/>
      <c r="D39" s="4"/>
      <c r="E39" s="4"/>
      <c r="F39" s="4">
        <f>8+10+4+1+8+10+10+19+12+8+5+6+3+2+4</f>
        <v>110</v>
      </c>
      <c r="G39" s="20">
        <v>10</v>
      </c>
      <c r="H39" s="24" t="str">
        <f t="shared" si="0"/>
        <v>No Avg</v>
      </c>
      <c r="I39" s="31">
        <v>30</v>
      </c>
      <c r="J39" s="32">
        <v>43</v>
      </c>
    </row>
    <row r="40" spans="1:10" hidden="1" x14ac:dyDescent="0.2">
      <c r="A40" s="13" t="s">
        <v>10</v>
      </c>
      <c r="B40" s="3" t="s">
        <v>11</v>
      </c>
      <c r="C40" s="4"/>
      <c r="D40" s="20"/>
      <c r="E40" s="20"/>
      <c r="F40" s="4"/>
      <c r="G40" s="20"/>
      <c r="H40" s="25"/>
      <c r="I40" s="31"/>
      <c r="J40" s="34">
        <v>6</v>
      </c>
    </row>
    <row r="41" spans="1:10" hidden="1" x14ac:dyDescent="0.2">
      <c r="A41" s="13" t="s">
        <v>12</v>
      </c>
      <c r="B41" s="3" t="s">
        <v>13</v>
      </c>
      <c r="C41" s="4"/>
      <c r="D41" s="20"/>
      <c r="E41" s="20"/>
      <c r="F41" s="4"/>
      <c r="G41" s="20"/>
      <c r="H41" s="25"/>
      <c r="I41" s="31"/>
      <c r="J41" s="32">
        <v>7</v>
      </c>
    </row>
    <row r="42" spans="1:10" hidden="1" x14ac:dyDescent="0.2">
      <c r="A42" s="13" t="s">
        <v>22</v>
      </c>
      <c r="B42" s="3" t="s">
        <v>11</v>
      </c>
      <c r="C42" s="4"/>
      <c r="D42" s="20"/>
      <c r="E42" s="20"/>
      <c r="F42" s="4"/>
      <c r="G42" s="20"/>
      <c r="H42" s="25"/>
      <c r="I42" s="31"/>
      <c r="J42" s="31">
        <v>12</v>
      </c>
    </row>
    <row r="43" spans="1:10" hidden="1" x14ac:dyDescent="0.2">
      <c r="A43" s="13" t="s">
        <v>37</v>
      </c>
      <c r="B43" s="3" t="s">
        <v>38</v>
      </c>
      <c r="C43" s="4"/>
      <c r="D43" s="20"/>
      <c r="E43" s="20"/>
      <c r="F43" s="4"/>
      <c r="G43" s="20"/>
      <c r="H43" s="25"/>
      <c r="I43" s="31"/>
      <c r="J43" s="33">
        <v>23</v>
      </c>
    </row>
    <row r="44" spans="1:10" hidden="1" x14ac:dyDescent="0.2">
      <c r="A44" s="13" t="s">
        <v>41</v>
      </c>
      <c r="B44" s="3" t="s">
        <v>42</v>
      </c>
      <c r="C44" s="4"/>
      <c r="D44" s="20"/>
      <c r="E44" s="20"/>
      <c r="F44" s="4"/>
      <c r="G44" s="20"/>
      <c r="H44" s="25"/>
      <c r="I44" s="25"/>
      <c r="J44" s="32">
        <v>25</v>
      </c>
    </row>
    <row r="45" spans="1:10" hidden="1" x14ac:dyDescent="0.2">
      <c r="A45" s="13" t="s">
        <v>43</v>
      </c>
      <c r="B45" s="3" t="s">
        <v>44</v>
      </c>
      <c r="C45" s="4"/>
      <c r="D45" s="20"/>
      <c r="E45" s="20"/>
      <c r="F45" s="4"/>
      <c r="G45" s="20"/>
      <c r="H45" s="25"/>
      <c r="I45" s="25"/>
      <c r="J45" s="30">
        <v>26</v>
      </c>
    </row>
    <row r="46" spans="1:10" hidden="1" x14ac:dyDescent="0.2">
      <c r="A46" s="13" t="s">
        <v>45</v>
      </c>
      <c r="B46" s="3" t="s">
        <v>46</v>
      </c>
      <c r="C46" s="4"/>
      <c r="D46" s="20"/>
      <c r="E46" s="20"/>
      <c r="F46" s="4"/>
      <c r="G46" s="20"/>
      <c r="H46" s="25"/>
      <c r="I46" s="25"/>
      <c r="J46" s="34">
        <v>27</v>
      </c>
    </row>
    <row r="47" spans="1:10" hidden="1" x14ac:dyDescent="0.2">
      <c r="A47" s="13" t="s">
        <v>47</v>
      </c>
      <c r="B47" s="3" t="s">
        <v>48</v>
      </c>
      <c r="C47" s="4"/>
      <c r="D47" s="20"/>
      <c r="E47" s="20"/>
      <c r="F47" s="4"/>
      <c r="G47" s="20"/>
      <c r="H47" s="25"/>
      <c r="I47" s="25"/>
      <c r="J47" s="32">
        <v>28</v>
      </c>
    </row>
    <row r="48" spans="1:10" hidden="1" x14ac:dyDescent="0.2">
      <c r="A48" s="13" t="s">
        <v>63</v>
      </c>
      <c r="B48" s="3" t="s">
        <v>64</v>
      </c>
      <c r="C48" s="4"/>
      <c r="D48" s="20"/>
      <c r="E48" s="20"/>
      <c r="F48" s="4"/>
      <c r="G48" s="20"/>
      <c r="H48" s="25"/>
      <c r="I48" s="25"/>
      <c r="J48" s="32">
        <v>40</v>
      </c>
    </row>
    <row r="49" spans="1:10" ht="13.5" hidden="1" thickBot="1" x14ac:dyDescent="0.25">
      <c r="A49" s="15" t="s">
        <v>67</v>
      </c>
      <c r="B49" s="16" t="s">
        <v>68</v>
      </c>
      <c r="C49" s="17"/>
      <c r="D49" s="26"/>
      <c r="E49" s="26"/>
      <c r="F49" s="17"/>
      <c r="G49" s="26"/>
      <c r="H49" s="43"/>
      <c r="I49" s="43"/>
      <c r="J49" s="34">
        <v>42</v>
      </c>
    </row>
    <row r="51" spans="1:10" x14ac:dyDescent="0.2">
      <c r="A51" s="27" t="s">
        <v>152</v>
      </c>
    </row>
    <row r="52" spans="1:10" x14ac:dyDescent="0.2">
      <c r="A52" s="27" t="s">
        <v>124</v>
      </c>
    </row>
    <row r="53" spans="1:10" x14ac:dyDescent="0.2">
      <c r="F53" s="1" t="s">
        <v>71</v>
      </c>
      <c r="G53" s="1" t="s">
        <v>120</v>
      </c>
      <c r="H53" s="1" t="s">
        <v>162</v>
      </c>
      <c r="I53" s="1" t="s">
        <v>163</v>
      </c>
    </row>
    <row r="54" spans="1:10" x14ac:dyDescent="0.2">
      <c r="A54" t="s">
        <v>101</v>
      </c>
      <c r="B54" t="s">
        <v>102</v>
      </c>
      <c r="F54" s="1">
        <v>141</v>
      </c>
      <c r="G54" s="1">
        <v>4</v>
      </c>
      <c r="H54" s="1">
        <f>+Bowling!I53</f>
        <v>136</v>
      </c>
      <c r="I54" s="1" t="s">
        <v>158</v>
      </c>
    </row>
    <row r="55" spans="1:10" x14ac:dyDescent="0.2">
      <c r="B55" t="s">
        <v>103</v>
      </c>
      <c r="F55" s="1">
        <v>123</v>
      </c>
      <c r="G55" s="1">
        <v>4</v>
      </c>
      <c r="H55" s="1">
        <f>+Bowling!I54</f>
        <v>122</v>
      </c>
      <c r="I55" s="1" t="s">
        <v>158</v>
      </c>
    </row>
    <row r="56" spans="1:10" x14ac:dyDescent="0.2">
      <c r="B56" t="s">
        <v>104</v>
      </c>
      <c r="F56" s="1">
        <v>170</v>
      </c>
      <c r="G56" s="1">
        <v>4</v>
      </c>
      <c r="H56" s="1">
        <f>+Bowling!I55</f>
        <v>169</v>
      </c>
      <c r="I56" s="1" t="s">
        <v>158</v>
      </c>
    </row>
    <row r="57" spans="1:10" x14ac:dyDescent="0.2">
      <c r="B57" t="s">
        <v>105</v>
      </c>
      <c r="F57" s="1">
        <v>117</v>
      </c>
      <c r="G57" s="1">
        <v>9</v>
      </c>
      <c r="H57" s="1">
        <f>+Bowling!I56</f>
        <v>120</v>
      </c>
      <c r="I57" s="1" t="s">
        <v>159</v>
      </c>
    </row>
    <row r="58" spans="1:10" x14ac:dyDescent="0.2">
      <c r="B58" t="s">
        <v>106</v>
      </c>
      <c r="F58" s="1">
        <f>19+12+34+7+7+25+18+20+2+8</f>
        <v>152</v>
      </c>
      <c r="G58" s="1">
        <v>8</v>
      </c>
      <c r="H58" s="1">
        <f>+Bowling!I57</f>
        <v>151</v>
      </c>
      <c r="I58" s="1" t="s">
        <v>158</v>
      </c>
    </row>
    <row r="59" spans="1:10" x14ac:dyDescent="0.2">
      <c r="B59" t="s">
        <v>107</v>
      </c>
      <c r="F59" s="1">
        <f>3+0+25+0+84+20+4+9+8+1+10</f>
        <v>164</v>
      </c>
      <c r="G59" s="1">
        <v>8</v>
      </c>
      <c r="H59" s="1">
        <f>+Bowling!I58</f>
        <v>165</v>
      </c>
      <c r="I59" s="1" t="s">
        <v>159</v>
      </c>
    </row>
    <row r="60" spans="1:10" x14ac:dyDescent="0.2">
      <c r="B60" t="s">
        <v>108</v>
      </c>
      <c r="F60" s="1">
        <v>135</v>
      </c>
      <c r="G60" s="1">
        <v>10</v>
      </c>
      <c r="H60" s="1">
        <f>+Bowling!I59</f>
        <v>231</v>
      </c>
      <c r="I60" s="1" t="s">
        <v>159</v>
      </c>
    </row>
    <row r="61" spans="1:10" x14ac:dyDescent="0.2">
      <c r="B61" t="s">
        <v>109</v>
      </c>
      <c r="F61" s="1">
        <v>204</v>
      </c>
      <c r="G61" s="1">
        <v>9</v>
      </c>
      <c r="H61" s="1">
        <f>+Bowling!I60</f>
        <v>219</v>
      </c>
      <c r="I61" s="1" t="s">
        <v>159</v>
      </c>
    </row>
    <row r="62" spans="1:10" x14ac:dyDescent="0.2">
      <c r="B62" t="s">
        <v>102</v>
      </c>
      <c r="F62" s="1">
        <v>170</v>
      </c>
      <c r="G62" s="1">
        <v>5</v>
      </c>
      <c r="H62" s="1">
        <f>+Bowling!I61</f>
        <v>193</v>
      </c>
      <c r="I62" s="1" t="s">
        <v>159</v>
      </c>
    </row>
    <row r="63" spans="1:10" x14ac:dyDescent="0.2">
      <c r="B63" t="s">
        <v>122</v>
      </c>
      <c r="F63" s="1">
        <f>56+12+21+15+33+4+4+1+0+2+0+5</f>
        <v>153</v>
      </c>
      <c r="G63" s="1">
        <v>10</v>
      </c>
      <c r="H63" s="1">
        <f>+Bowling!I62</f>
        <v>199</v>
      </c>
      <c r="I63" s="1" t="s">
        <v>159</v>
      </c>
    </row>
    <row r="64" spans="1:10" x14ac:dyDescent="0.2">
      <c r="B64" t="s">
        <v>123</v>
      </c>
      <c r="F64" s="1">
        <f>44+9+7+7+16+20+3+3+1+8</f>
        <v>118</v>
      </c>
      <c r="G64" s="1">
        <v>10</v>
      </c>
      <c r="H64" s="1">
        <f>+Bowling!I63</f>
        <v>94</v>
      </c>
      <c r="I64" s="1" t="s">
        <v>158</v>
      </c>
    </row>
    <row r="65" spans="2:10" x14ac:dyDescent="0.2">
      <c r="B65" t="s">
        <v>106</v>
      </c>
      <c r="F65" s="1">
        <f>18+4+71+1+15+1+11+12+10+2+8</f>
        <v>153</v>
      </c>
      <c r="G65" s="1">
        <v>10</v>
      </c>
      <c r="H65" s="1">
        <f>+Bowling!I64</f>
        <v>177</v>
      </c>
      <c r="I65" s="1" t="s">
        <v>159</v>
      </c>
    </row>
    <row r="66" spans="2:10" x14ac:dyDescent="0.2">
      <c r="B66" t="s">
        <v>102</v>
      </c>
      <c r="F66" s="1">
        <v>113</v>
      </c>
      <c r="G66" s="1">
        <v>9</v>
      </c>
      <c r="H66" s="1">
        <f>+Bowling!I65</f>
        <v>110</v>
      </c>
      <c r="I66" s="1" t="s">
        <v>158</v>
      </c>
    </row>
    <row r="67" spans="2:10" x14ac:dyDescent="0.2">
      <c r="B67" t="s">
        <v>104</v>
      </c>
      <c r="F67" s="1">
        <f>11+4+6+3+6+2</f>
        <v>32</v>
      </c>
      <c r="G67" s="1">
        <v>4</v>
      </c>
      <c r="H67" s="1">
        <f>+Bowling!I66</f>
        <v>110</v>
      </c>
      <c r="I67" s="44" t="s">
        <v>165</v>
      </c>
    </row>
    <row r="68" spans="2:10" x14ac:dyDescent="0.2">
      <c r="B68" t="s">
        <v>106</v>
      </c>
      <c r="F68" s="1">
        <f>9+20+6+65+24+1+5+1+4</f>
        <v>135</v>
      </c>
      <c r="G68" s="1">
        <v>10</v>
      </c>
      <c r="H68" s="1">
        <f>+Bowling!I67</f>
        <v>128</v>
      </c>
      <c r="I68" s="1" t="s">
        <v>157</v>
      </c>
      <c r="J68" s="44"/>
    </row>
    <row r="71" spans="2:10" x14ac:dyDescent="0.2">
      <c r="B71" t="s">
        <v>110</v>
      </c>
      <c r="F71" s="1">
        <f>SUM(F54:F70)</f>
        <v>2080</v>
      </c>
      <c r="G71" s="1">
        <f>SUM(G54:G70)</f>
        <v>114</v>
      </c>
    </row>
    <row r="72" spans="2:10" x14ac:dyDescent="0.2">
      <c r="B72" t="s">
        <v>111</v>
      </c>
      <c r="F72" s="1">
        <f>+F71-SUM(F7:F50)</f>
        <v>0</v>
      </c>
      <c r="G72" s="1">
        <f>+G71-SUM(C7:C50)+SUM(D7:D50)</f>
        <v>0</v>
      </c>
    </row>
  </sheetData>
  <phoneticPr fontId="1" type="noConversion"/>
  <pageMargins left="0.35433070866141736" right="0.23622047244094491" top="0.36" bottom="0.2" header="0.33" footer="0.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0"/>
  <sheetViews>
    <sheetView tabSelected="1" view="pageBreakPreview" zoomScale="115" zoomScaleNormal="100" zoomScaleSheetLayoutView="115" workbookViewId="0"/>
  </sheetViews>
  <sheetFormatPr defaultRowHeight="12.75" x14ac:dyDescent="0.2"/>
  <cols>
    <col min="1" max="1" width="10.7109375" bestFit="1" customWidth="1"/>
    <col min="2" max="2" width="10.42578125" customWidth="1"/>
    <col min="3" max="3" width="10.5703125" customWidth="1"/>
    <col min="4" max="4" width="6.140625" style="1" bestFit="1" customWidth="1"/>
    <col min="5" max="5" width="8.5703125" style="1" bestFit="1" customWidth="1"/>
    <col min="6" max="6" width="6.5703125" style="1" bestFit="1" customWidth="1"/>
    <col min="7" max="7" width="3.5703125" style="1" bestFit="1" customWidth="1"/>
    <col min="8" max="8" width="8" style="1" bestFit="1" customWidth="1"/>
    <col min="9" max="9" width="5.42578125" style="1" bestFit="1" customWidth="1"/>
    <col min="10" max="10" width="8.85546875" style="1" bestFit="1" customWidth="1"/>
    <col min="11" max="13" width="6.42578125" style="1" customWidth="1"/>
    <col min="14" max="18" width="9.140625" style="1"/>
  </cols>
  <sheetData>
    <row r="1" spans="1:21" x14ac:dyDescent="0.2">
      <c r="C1" s="1"/>
      <c r="S1" s="1"/>
      <c r="T1" s="1"/>
      <c r="U1" s="1"/>
    </row>
    <row r="2" spans="1:21" ht="23.25" x14ac:dyDescent="0.35">
      <c r="C2" s="46" t="s">
        <v>167</v>
      </c>
      <c r="K2" s="55" t="s">
        <v>170</v>
      </c>
      <c r="S2" s="1"/>
      <c r="T2" s="1"/>
      <c r="U2" s="1"/>
    </row>
    <row r="3" spans="1:21" ht="23.25" x14ac:dyDescent="0.35">
      <c r="C3" s="46" t="s">
        <v>173</v>
      </c>
      <c r="K3" s="56" t="s">
        <v>171</v>
      </c>
      <c r="S3" s="1"/>
      <c r="T3" s="1"/>
      <c r="U3" s="1"/>
    </row>
    <row r="4" spans="1:21" ht="23.25" x14ac:dyDescent="0.35">
      <c r="C4" s="46" t="s">
        <v>169</v>
      </c>
      <c r="K4" s="57" t="s">
        <v>172</v>
      </c>
      <c r="S4" s="1"/>
      <c r="T4" s="1"/>
      <c r="U4" s="1"/>
    </row>
    <row r="5" spans="1:21" ht="13.5" thickBot="1" x14ac:dyDescent="0.25">
      <c r="C5" s="1"/>
      <c r="S5" s="1"/>
      <c r="T5" s="1"/>
      <c r="U5" s="1"/>
    </row>
    <row r="6" spans="1:21" ht="27" customHeight="1" thickBot="1" x14ac:dyDescent="0.25">
      <c r="A6" s="9" t="s">
        <v>0</v>
      </c>
      <c r="B6" s="10" t="s">
        <v>1</v>
      </c>
      <c r="C6" s="45" t="s">
        <v>160</v>
      </c>
      <c r="D6" s="11" t="s">
        <v>74</v>
      </c>
      <c r="E6" s="11" t="s">
        <v>75</v>
      </c>
      <c r="F6" s="11" t="s">
        <v>77</v>
      </c>
      <c r="G6" s="11" t="s">
        <v>78</v>
      </c>
      <c r="H6" s="11" t="s">
        <v>76</v>
      </c>
      <c r="I6" s="11" t="s">
        <v>71</v>
      </c>
      <c r="J6" s="28" t="s">
        <v>98</v>
      </c>
      <c r="K6" s="11" t="s">
        <v>175</v>
      </c>
      <c r="L6" s="11" t="s">
        <v>174</v>
      </c>
      <c r="M6" s="29" t="s">
        <v>86</v>
      </c>
      <c r="N6" s="28" t="s">
        <v>151</v>
      </c>
      <c r="O6" s="36" t="s">
        <v>164</v>
      </c>
      <c r="P6" s="29" t="s">
        <v>131</v>
      </c>
      <c r="Q6" s="29" t="s">
        <v>130</v>
      </c>
      <c r="R6" s="12" t="s">
        <v>129</v>
      </c>
    </row>
    <row r="7" spans="1:21" x14ac:dyDescent="0.2">
      <c r="A7" s="6" t="s">
        <v>2</v>
      </c>
      <c r="B7" s="7" t="s">
        <v>3</v>
      </c>
      <c r="C7" s="7">
        <v>8</v>
      </c>
      <c r="D7" s="8">
        <f>7+5+6+3+8+4+8+11</f>
        <v>52</v>
      </c>
      <c r="E7" s="8">
        <f>1+1+2</f>
        <v>4</v>
      </c>
      <c r="F7" s="8">
        <f>5+4+2</f>
        <v>11</v>
      </c>
      <c r="G7" s="8">
        <f>2+4+1</f>
        <v>7</v>
      </c>
      <c r="H7" s="48">
        <f>4+1+2+2+3+3+6</f>
        <v>21</v>
      </c>
      <c r="I7" s="8">
        <f>34+17+24+27+49+12+42+37</f>
        <v>242</v>
      </c>
      <c r="J7" s="53" t="s">
        <v>156</v>
      </c>
      <c r="K7" s="47">
        <f t="shared" ref="K7:K49" si="0">IF(H7=0,"No Avg.",I7/H7)</f>
        <v>11.523809523809524</v>
      </c>
      <c r="L7" s="21">
        <f t="shared" ref="L7:L49" si="1">IF(D7=0,"N/A",I7/D7)</f>
        <v>4.6538461538461542</v>
      </c>
      <c r="M7" s="49">
        <f t="shared" ref="M7:M49" si="2">IF(H7=0,"N/A",(INT(D7)*6+D7-INT(D7))/H7)</f>
        <v>14.857142857142858</v>
      </c>
      <c r="N7" s="41">
        <v>1</v>
      </c>
      <c r="O7" s="42">
        <v>1</v>
      </c>
      <c r="P7" s="34">
        <v>5</v>
      </c>
      <c r="Q7" s="35">
        <v>1</v>
      </c>
      <c r="R7" s="33">
        <v>1</v>
      </c>
    </row>
    <row r="8" spans="1:21" x14ac:dyDescent="0.2">
      <c r="A8" s="2" t="s">
        <v>16</v>
      </c>
      <c r="B8" s="3" t="s">
        <v>17</v>
      </c>
      <c r="C8" s="3">
        <v>6</v>
      </c>
      <c r="D8" s="4">
        <f>4+4+5+8+3+5</f>
        <v>29</v>
      </c>
      <c r="E8" s="4">
        <f>1+1+1+2+1</f>
        <v>6</v>
      </c>
      <c r="F8" s="4"/>
      <c r="G8" s="4"/>
      <c r="H8" s="4">
        <f>1+1+2+2+1+1</f>
        <v>8</v>
      </c>
      <c r="I8" s="4">
        <f>13+13+26+24+21+26</f>
        <v>123</v>
      </c>
      <c r="J8" s="5" t="s">
        <v>127</v>
      </c>
      <c r="K8" s="50">
        <f t="shared" si="0"/>
        <v>15.375</v>
      </c>
      <c r="L8" s="50">
        <f t="shared" si="1"/>
        <v>4.2413793103448274</v>
      </c>
      <c r="M8" s="22">
        <f t="shared" si="2"/>
        <v>21.75</v>
      </c>
      <c r="N8" s="40">
        <v>5</v>
      </c>
      <c r="O8" s="37">
        <v>2</v>
      </c>
      <c r="P8" s="31">
        <v>2</v>
      </c>
      <c r="Q8" s="25">
        <v>4</v>
      </c>
      <c r="R8" s="31">
        <v>9</v>
      </c>
    </row>
    <row r="9" spans="1:21" x14ac:dyDescent="0.2">
      <c r="A9" s="2" t="s">
        <v>59</v>
      </c>
      <c r="B9" s="3" t="s">
        <v>60</v>
      </c>
      <c r="C9" s="3">
        <v>10</v>
      </c>
      <c r="D9" s="4">
        <f>7+5.3+2+8+3+4+7+3+4.9+9</f>
        <v>53.199999999999996</v>
      </c>
      <c r="E9" s="4">
        <v>2</v>
      </c>
      <c r="F9" s="4"/>
      <c r="G9" s="4">
        <v>1</v>
      </c>
      <c r="H9" s="52">
        <f>5+3+2+1+1+1+2</f>
        <v>15</v>
      </c>
      <c r="I9" s="4">
        <f>20+24+14+38+27+31+44+17+11+16</f>
        <v>242</v>
      </c>
      <c r="J9" s="54" t="s">
        <v>81</v>
      </c>
      <c r="K9" s="58">
        <f t="shared" si="0"/>
        <v>16.133333333333333</v>
      </c>
      <c r="L9" s="58">
        <f t="shared" si="1"/>
        <v>4.5488721804511281</v>
      </c>
      <c r="M9" s="61">
        <f t="shared" si="2"/>
        <v>21.213333333333331</v>
      </c>
      <c r="N9" s="20">
        <v>2</v>
      </c>
      <c r="O9" s="38">
        <v>3</v>
      </c>
      <c r="P9" s="35">
        <v>4</v>
      </c>
      <c r="Q9" s="25">
        <v>3</v>
      </c>
      <c r="R9" s="31">
        <v>36</v>
      </c>
    </row>
    <row r="10" spans="1:21" x14ac:dyDescent="0.2">
      <c r="A10" s="2" t="s">
        <v>14</v>
      </c>
      <c r="B10" s="3" t="s">
        <v>15</v>
      </c>
      <c r="C10" s="3">
        <v>7</v>
      </c>
      <c r="D10" s="4">
        <f>4+4+7+5+7+3+8</f>
        <v>38</v>
      </c>
      <c r="E10" s="4">
        <f>1+2</f>
        <v>3</v>
      </c>
      <c r="F10" s="4">
        <v>1</v>
      </c>
      <c r="G10" s="4"/>
      <c r="H10" s="59">
        <f>2+1+2+1+2+2+2</f>
        <v>12</v>
      </c>
      <c r="I10" s="4">
        <f>18+33+22+19+40+17+14+36</f>
        <v>199</v>
      </c>
      <c r="J10" s="5" t="s">
        <v>79</v>
      </c>
      <c r="K10" s="21">
        <f t="shared" si="0"/>
        <v>16.583333333333332</v>
      </c>
      <c r="L10" s="21">
        <f t="shared" si="1"/>
        <v>5.2368421052631575</v>
      </c>
      <c r="M10" s="51">
        <f t="shared" si="2"/>
        <v>19</v>
      </c>
      <c r="N10" s="40">
        <v>3</v>
      </c>
      <c r="O10" s="37">
        <v>4</v>
      </c>
      <c r="P10" s="25">
        <v>7</v>
      </c>
      <c r="Q10" s="35">
        <v>2</v>
      </c>
      <c r="R10" s="19">
        <v>8</v>
      </c>
    </row>
    <row r="11" spans="1:21" x14ac:dyDescent="0.2">
      <c r="A11" s="2" t="s">
        <v>29</v>
      </c>
      <c r="B11" s="3" t="s">
        <v>30</v>
      </c>
      <c r="C11" s="3">
        <v>7</v>
      </c>
      <c r="D11" s="4">
        <f>6+8+8+10.1+10+8+9</f>
        <v>59.1</v>
      </c>
      <c r="E11" s="4">
        <f>1+2+3+1</f>
        <v>7</v>
      </c>
      <c r="F11" s="4">
        <f>1+1</f>
        <v>2</v>
      </c>
      <c r="G11" s="4">
        <v>1</v>
      </c>
      <c r="H11" s="4">
        <f>2+1+1+1+3+1+1</f>
        <v>10</v>
      </c>
      <c r="I11" s="4">
        <f>16+37+31+28+40+30+25</f>
        <v>207</v>
      </c>
      <c r="J11" s="60" t="s">
        <v>132</v>
      </c>
      <c r="K11" s="21">
        <f t="shared" si="0"/>
        <v>20.7</v>
      </c>
      <c r="L11" s="47">
        <f t="shared" si="1"/>
        <v>3.5025380710659899</v>
      </c>
      <c r="M11" s="22">
        <f t="shared" si="2"/>
        <v>35.410000000000004</v>
      </c>
      <c r="N11" s="20">
        <v>4</v>
      </c>
      <c r="O11" s="38">
        <v>5</v>
      </c>
      <c r="P11" s="34">
        <v>1</v>
      </c>
      <c r="Q11" s="35">
        <v>6</v>
      </c>
      <c r="R11" s="32">
        <v>17</v>
      </c>
    </row>
    <row r="12" spans="1:21" x14ac:dyDescent="0.2">
      <c r="A12" s="2" t="s">
        <v>18</v>
      </c>
      <c r="B12" s="3" t="s">
        <v>19</v>
      </c>
      <c r="C12" s="3">
        <v>5</v>
      </c>
      <c r="D12" s="4">
        <f>7+6+5+6+5</f>
        <v>29</v>
      </c>
      <c r="E12" s="4">
        <f>2+1+2</f>
        <v>5</v>
      </c>
      <c r="F12" s="4"/>
      <c r="G12" s="4"/>
      <c r="H12" s="4">
        <f>0+2+1+2+0</f>
        <v>5</v>
      </c>
      <c r="I12" s="4">
        <f>15+30+34+22+24</f>
        <v>125</v>
      </c>
      <c r="J12" s="5" t="s">
        <v>90</v>
      </c>
      <c r="K12" s="21">
        <f t="shared" si="0"/>
        <v>25</v>
      </c>
      <c r="L12" s="21">
        <f t="shared" si="1"/>
        <v>4.3103448275862073</v>
      </c>
      <c r="M12" s="22">
        <f t="shared" si="2"/>
        <v>34.799999999999997</v>
      </c>
      <c r="N12" s="20">
        <v>6</v>
      </c>
      <c r="O12" s="38">
        <v>6</v>
      </c>
      <c r="P12" s="35">
        <v>3</v>
      </c>
      <c r="Q12" s="25">
        <v>5</v>
      </c>
      <c r="R12" s="30">
        <v>10</v>
      </c>
    </row>
    <row r="13" spans="1:21" x14ac:dyDescent="0.2">
      <c r="A13" s="2" t="s">
        <v>55</v>
      </c>
      <c r="B13" s="3" t="s">
        <v>56</v>
      </c>
      <c r="C13" s="3">
        <v>6</v>
      </c>
      <c r="D13" s="4">
        <f>5+5+8+4+3+6</f>
        <v>31</v>
      </c>
      <c r="E13" s="4"/>
      <c r="F13" s="4"/>
      <c r="G13" s="4"/>
      <c r="H13" s="4">
        <f>2+2+1</f>
        <v>5</v>
      </c>
      <c r="I13" s="4">
        <f>25+24+46+22+12+26</f>
        <v>155</v>
      </c>
      <c r="J13" s="5" t="s">
        <v>134</v>
      </c>
      <c r="K13" s="21">
        <f t="shared" si="0"/>
        <v>31</v>
      </c>
      <c r="L13" s="21">
        <f t="shared" si="1"/>
        <v>5</v>
      </c>
      <c r="M13" s="22">
        <f t="shared" si="2"/>
        <v>37.200000000000003</v>
      </c>
      <c r="N13" s="40">
        <v>6</v>
      </c>
      <c r="O13" s="37">
        <v>7</v>
      </c>
      <c r="P13" s="31">
        <v>6</v>
      </c>
      <c r="Q13" s="25">
        <v>7</v>
      </c>
      <c r="R13" s="34">
        <v>33</v>
      </c>
    </row>
    <row r="14" spans="1:21" x14ac:dyDescent="0.2">
      <c r="A14" s="2" t="s">
        <v>141</v>
      </c>
      <c r="B14" s="3" t="s">
        <v>141</v>
      </c>
      <c r="C14" s="3">
        <v>1</v>
      </c>
      <c r="D14" s="4">
        <v>6</v>
      </c>
      <c r="E14" s="4">
        <v>1</v>
      </c>
      <c r="F14" s="4"/>
      <c r="G14" s="4"/>
      <c r="H14" s="4">
        <v>2</v>
      </c>
      <c r="I14" s="4">
        <v>13</v>
      </c>
      <c r="J14" s="5" t="s">
        <v>142</v>
      </c>
      <c r="K14" s="21">
        <f t="shared" si="0"/>
        <v>6.5</v>
      </c>
      <c r="L14" s="21">
        <f t="shared" si="1"/>
        <v>2.1666666666666665</v>
      </c>
      <c r="M14" s="22">
        <f t="shared" si="2"/>
        <v>18</v>
      </c>
      <c r="N14" s="20">
        <v>12</v>
      </c>
      <c r="O14" s="38">
        <v>8</v>
      </c>
      <c r="P14" s="35">
        <v>8</v>
      </c>
      <c r="Q14" s="35">
        <v>11</v>
      </c>
      <c r="R14" s="32">
        <v>5</v>
      </c>
    </row>
    <row r="15" spans="1:21" x14ac:dyDescent="0.2">
      <c r="A15" s="2" t="s">
        <v>137</v>
      </c>
      <c r="B15" s="3" t="s">
        <v>138</v>
      </c>
      <c r="C15" s="3">
        <v>1</v>
      </c>
      <c r="D15" s="4">
        <v>3</v>
      </c>
      <c r="E15" s="4"/>
      <c r="F15" s="4">
        <v>3</v>
      </c>
      <c r="G15" s="4">
        <v>3</v>
      </c>
      <c r="H15" s="4">
        <v>3</v>
      </c>
      <c r="I15" s="4">
        <v>21</v>
      </c>
      <c r="J15" s="5" t="s">
        <v>139</v>
      </c>
      <c r="K15" s="21">
        <f t="shared" si="0"/>
        <v>7</v>
      </c>
      <c r="L15" s="21">
        <f t="shared" si="1"/>
        <v>7</v>
      </c>
      <c r="M15" s="22">
        <f t="shared" si="2"/>
        <v>6</v>
      </c>
      <c r="N15" s="20">
        <v>11</v>
      </c>
      <c r="O15" s="38">
        <v>9</v>
      </c>
      <c r="P15" s="25">
        <v>27</v>
      </c>
      <c r="Q15" s="25">
        <v>8</v>
      </c>
      <c r="R15" s="30">
        <v>37</v>
      </c>
    </row>
    <row r="16" spans="1:21" x14ac:dyDescent="0.2">
      <c r="A16" s="2" t="s">
        <v>63</v>
      </c>
      <c r="B16" s="3" t="s">
        <v>64</v>
      </c>
      <c r="C16" s="3">
        <v>1</v>
      </c>
      <c r="D16" s="4">
        <v>5</v>
      </c>
      <c r="E16" s="4"/>
      <c r="F16" s="4"/>
      <c r="G16" s="4"/>
      <c r="H16" s="4">
        <v>2</v>
      </c>
      <c r="I16" s="4">
        <v>16</v>
      </c>
      <c r="J16" s="5" t="s">
        <v>153</v>
      </c>
      <c r="K16" s="21">
        <f t="shared" si="0"/>
        <v>8</v>
      </c>
      <c r="L16" s="21">
        <f t="shared" si="1"/>
        <v>3.2</v>
      </c>
      <c r="M16" s="22">
        <f t="shared" si="2"/>
        <v>15</v>
      </c>
      <c r="N16" s="20">
        <v>12</v>
      </c>
      <c r="O16" s="37">
        <v>10</v>
      </c>
      <c r="P16" s="34">
        <v>11</v>
      </c>
      <c r="Q16" s="31">
        <v>9</v>
      </c>
      <c r="R16" s="33">
        <v>40</v>
      </c>
    </row>
    <row r="17" spans="1:18" x14ac:dyDescent="0.2">
      <c r="A17" s="2" t="s">
        <v>61</v>
      </c>
      <c r="B17" s="3" t="s">
        <v>62</v>
      </c>
      <c r="C17" s="3">
        <v>3</v>
      </c>
      <c r="D17" s="4">
        <f>3+1+6</f>
        <v>10</v>
      </c>
      <c r="E17" s="4"/>
      <c r="F17" s="4"/>
      <c r="G17" s="4"/>
      <c r="H17" s="4">
        <f>1+1+2</f>
        <v>4</v>
      </c>
      <c r="I17" s="4">
        <f>14+6+21</f>
        <v>41</v>
      </c>
      <c r="J17" s="5" t="s">
        <v>155</v>
      </c>
      <c r="K17" s="21">
        <f t="shared" si="0"/>
        <v>10.25</v>
      </c>
      <c r="L17" s="21">
        <f t="shared" si="1"/>
        <v>4.0999999999999996</v>
      </c>
      <c r="M17" s="22">
        <f t="shared" si="2"/>
        <v>15</v>
      </c>
      <c r="N17" s="20">
        <v>8</v>
      </c>
      <c r="O17" s="38">
        <v>11</v>
      </c>
      <c r="P17" s="31">
        <v>17</v>
      </c>
      <c r="Q17" s="35">
        <v>9</v>
      </c>
      <c r="R17" s="31">
        <v>39</v>
      </c>
    </row>
    <row r="18" spans="1:18" x14ac:dyDescent="0.2">
      <c r="A18" s="2" t="s">
        <v>65</v>
      </c>
      <c r="B18" s="3" t="s">
        <v>66</v>
      </c>
      <c r="C18" s="3">
        <v>3</v>
      </c>
      <c r="D18" s="4">
        <f>5+5+5</f>
        <v>15</v>
      </c>
      <c r="E18" s="4">
        <v>1</v>
      </c>
      <c r="F18" s="4"/>
      <c r="G18" s="4"/>
      <c r="H18" s="4">
        <f>2+1+1</f>
        <v>4</v>
      </c>
      <c r="I18" s="4">
        <f>15+15+20</f>
        <v>50</v>
      </c>
      <c r="J18" s="5" t="s">
        <v>88</v>
      </c>
      <c r="K18" s="21">
        <f t="shared" si="0"/>
        <v>12.5</v>
      </c>
      <c r="L18" s="21">
        <f t="shared" si="1"/>
        <v>3.3333333333333335</v>
      </c>
      <c r="M18" s="22">
        <f t="shared" si="2"/>
        <v>22.5</v>
      </c>
      <c r="N18" s="40">
        <v>8</v>
      </c>
      <c r="O18" s="37">
        <v>12</v>
      </c>
      <c r="P18" s="34">
        <v>12</v>
      </c>
      <c r="Q18" s="25">
        <v>13</v>
      </c>
      <c r="R18" s="32">
        <v>41</v>
      </c>
    </row>
    <row r="19" spans="1:18" x14ac:dyDescent="0.2">
      <c r="A19" s="2" t="s">
        <v>31</v>
      </c>
      <c r="B19" s="3" t="s">
        <v>32</v>
      </c>
      <c r="C19" s="3">
        <v>2</v>
      </c>
      <c r="D19" s="4">
        <f>7+3</f>
        <v>10</v>
      </c>
      <c r="E19" s="4">
        <f>1+1</f>
        <v>2</v>
      </c>
      <c r="F19" s="4"/>
      <c r="G19" s="4"/>
      <c r="H19" s="4">
        <v>2</v>
      </c>
      <c r="I19" s="4">
        <f>18+7</f>
        <v>25</v>
      </c>
      <c r="J19" s="5" t="s">
        <v>79</v>
      </c>
      <c r="K19" s="21">
        <f t="shared" si="0"/>
        <v>12.5</v>
      </c>
      <c r="L19" s="21">
        <f t="shared" si="1"/>
        <v>2.5</v>
      </c>
      <c r="M19" s="22">
        <f t="shared" si="2"/>
        <v>30</v>
      </c>
      <c r="N19" s="20">
        <v>12</v>
      </c>
      <c r="O19" s="37">
        <v>12</v>
      </c>
      <c r="P19" s="31">
        <v>9</v>
      </c>
      <c r="Q19" s="31">
        <v>17</v>
      </c>
      <c r="R19" s="33">
        <v>19</v>
      </c>
    </row>
    <row r="20" spans="1:18" x14ac:dyDescent="0.2">
      <c r="A20" s="2" t="s">
        <v>112</v>
      </c>
      <c r="B20" s="3" t="s">
        <v>113</v>
      </c>
      <c r="C20" s="3">
        <v>1</v>
      </c>
      <c r="D20" s="4">
        <v>4</v>
      </c>
      <c r="E20" s="4"/>
      <c r="F20" s="4">
        <v>1</v>
      </c>
      <c r="G20" s="4"/>
      <c r="H20" s="4">
        <v>1</v>
      </c>
      <c r="I20" s="4">
        <v>13</v>
      </c>
      <c r="J20" s="5" t="s">
        <v>117</v>
      </c>
      <c r="K20" s="21">
        <f t="shared" si="0"/>
        <v>13</v>
      </c>
      <c r="L20" s="21">
        <f t="shared" si="1"/>
        <v>3.25</v>
      </c>
      <c r="M20" s="22">
        <f t="shared" si="2"/>
        <v>24</v>
      </c>
      <c r="N20" s="20">
        <v>18</v>
      </c>
      <c r="O20" s="38">
        <v>14</v>
      </c>
      <c r="P20" s="25">
        <v>12</v>
      </c>
      <c r="Q20" s="35">
        <v>14</v>
      </c>
      <c r="R20" s="31">
        <v>30</v>
      </c>
    </row>
    <row r="21" spans="1:18" x14ac:dyDescent="0.2">
      <c r="A21" s="2" t="s">
        <v>25</v>
      </c>
      <c r="B21" s="3" t="s">
        <v>26</v>
      </c>
      <c r="C21" s="3">
        <v>2</v>
      </c>
      <c r="D21" s="4">
        <f>8+8</f>
        <v>16</v>
      </c>
      <c r="E21" s="4"/>
      <c r="F21" s="4"/>
      <c r="G21" s="4">
        <v>1</v>
      </c>
      <c r="H21" s="4">
        <f>3+1</f>
        <v>4</v>
      </c>
      <c r="I21" s="4">
        <f>27+35</f>
        <v>62</v>
      </c>
      <c r="J21" s="5" t="s">
        <v>85</v>
      </c>
      <c r="K21" s="21">
        <f t="shared" si="0"/>
        <v>15.5</v>
      </c>
      <c r="L21" s="21">
        <f t="shared" si="1"/>
        <v>3.875</v>
      </c>
      <c r="M21" s="22">
        <f t="shared" si="2"/>
        <v>24</v>
      </c>
      <c r="N21" s="20">
        <v>8</v>
      </c>
      <c r="O21" s="38">
        <v>15</v>
      </c>
      <c r="P21" s="35">
        <v>16</v>
      </c>
      <c r="Q21" s="35">
        <v>14</v>
      </c>
      <c r="R21" s="31">
        <v>15</v>
      </c>
    </row>
    <row r="22" spans="1:18" x14ac:dyDescent="0.2">
      <c r="A22" s="2" t="s">
        <v>6</v>
      </c>
      <c r="B22" s="3" t="s">
        <v>7</v>
      </c>
      <c r="C22" s="3">
        <v>1</v>
      </c>
      <c r="D22" s="4">
        <v>3</v>
      </c>
      <c r="E22" s="4"/>
      <c r="F22" s="4"/>
      <c r="G22" s="4"/>
      <c r="H22" s="4">
        <v>1</v>
      </c>
      <c r="I22" s="4">
        <v>18</v>
      </c>
      <c r="J22" s="5" t="s">
        <v>93</v>
      </c>
      <c r="K22" s="21">
        <f t="shared" si="0"/>
        <v>18</v>
      </c>
      <c r="L22" s="21">
        <f t="shared" si="1"/>
        <v>6</v>
      </c>
      <c r="M22" s="22">
        <f t="shared" si="2"/>
        <v>18</v>
      </c>
      <c r="N22" s="20">
        <v>18</v>
      </c>
      <c r="O22" s="37">
        <v>16</v>
      </c>
      <c r="P22" s="31">
        <v>25</v>
      </c>
      <c r="Q22" s="25">
        <v>11</v>
      </c>
      <c r="R22" s="34">
        <v>3</v>
      </c>
    </row>
    <row r="23" spans="1:18" x14ac:dyDescent="0.2">
      <c r="A23" s="2" t="s">
        <v>143</v>
      </c>
      <c r="B23" s="3" t="s">
        <v>144</v>
      </c>
      <c r="C23" s="3">
        <v>2</v>
      </c>
      <c r="D23" s="4">
        <f>5+4</f>
        <v>9</v>
      </c>
      <c r="E23" s="4">
        <f>2+1</f>
        <v>3</v>
      </c>
      <c r="F23" s="4"/>
      <c r="G23" s="4"/>
      <c r="H23" s="4">
        <v>1</v>
      </c>
      <c r="I23" s="4">
        <f>17+7</f>
        <v>24</v>
      </c>
      <c r="J23" s="5" t="s">
        <v>145</v>
      </c>
      <c r="K23" s="21">
        <f t="shared" si="0"/>
        <v>24</v>
      </c>
      <c r="L23" s="21">
        <f t="shared" si="1"/>
        <v>2.6666666666666665</v>
      </c>
      <c r="M23" s="22">
        <f t="shared" si="2"/>
        <v>54</v>
      </c>
      <c r="N23" s="20">
        <v>18</v>
      </c>
      <c r="O23" s="37">
        <v>17</v>
      </c>
      <c r="P23" s="35">
        <v>10</v>
      </c>
      <c r="Q23" s="25">
        <v>22</v>
      </c>
      <c r="R23" s="32">
        <v>14</v>
      </c>
    </row>
    <row r="24" spans="1:18" x14ac:dyDescent="0.2">
      <c r="A24" s="2" t="s">
        <v>57</v>
      </c>
      <c r="B24" s="3" t="s">
        <v>58</v>
      </c>
      <c r="C24" s="3">
        <v>3</v>
      </c>
      <c r="D24" s="4">
        <f>3+4+4</f>
        <v>11</v>
      </c>
      <c r="E24" s="4"/>
      <c r="F24" s="4"/>
      <c r="G24" s="4"/>
      <c r="H24" s="4">
        <f>1+1</f>
        <v>2</v>
      </c>
      <c r="I24" s="4">
        <f>16+15+22</f>
        <v>53</v>
      </c>
      <c r="J24" s="5" t="s">
        <v>91</v>
      </c>
      <c r="K24" s="21">
        <f t="shared" si="0"/>
        <v>26.5</v>
      </c>
      <c r="L24" s="21">
        <f t="shared" si="1"/>
        <v>4.8181818181818183</v>
      </c>
      <c r="M24" s="22">
        <f t="shared" si="2"/>
        <v>33</v>
      </c>
      <c r="N24" s="20">
        <v>12</v>
      </c>
      <c r="O24" s="38">
        <v>18</v>
      </c>
      <c r="P24" s="25">
        <v>19</v>
      </c>
      <c r="Q24" s="35">
        <v>19</v>
      </c>
      <c r="R24" s="32">
        <v>35</v>
      </c>
    </row>
    <row r="25" spans="1:18" x14ac:dyDescent="0.2">
      <c r="A25" s="2" t="s">
        <v>49</v>
      </c>
      <c r="B25" s="3" t="s">
        <v>50</v>
      </c>
      <c r="C25" s="3">
        <v>1</v>
      </c>
      <c r="D25" s="4">
        <v>4</v>
      </c>
      <c r="E25" s="4"/>
      <c r="F25" s="4"/>
      <c r="G25" s="4"/>
      <c r="H25" s="4">
        <v>1</v>
      </c>
      <c r="I25" s="4">
        <v>28</v>
      </c>
      <c r="J25" s="5" t="s">
        <v>94</v>
      </c>
      <c r="K25" s="21">
        <f t="shared" si="0"/>
        <v>28</v>
      </c>
      <c r="L25" s="21">
        <f t="shared" si="1"/>
        <v>7</v>
      </c>
      <c r="M25" s="22">
        <f t="shared" si="2"/>
        <v>24</v>
      </c>
      <c r="N25" s="20">
        <v>18</v>
      </c>
      <c r="O25" s="37">
        <v>19</v>
      </c>
      <c r="P25" s="35">
        <v>27</v>
      </c>
      <c r="Q25" s="25">
        <v>14</v>
      </c>
      <c r="R25" s="19">
        <v>29</v>
      </c>
    </row>
    <row r="26" spans="1:18" x14ac:dyDescent="0.2">
      <c r="A26" s="2" t="s">
        <v>43</v>
      </c>
      <c r="B26" s="3" t="s">
        <v>44</v>
      </c>
      <c r="C26" s="3">
        <v>1</v>
      </c>
      <c r="D26" s="4">
        <v>6</v>
      </c>
      <c r="E26" s="4">
        <v>1</v>
      </c>
      <c r="F26" s="4">
        <v>1</v>
      </c>
      <c r="G26" s="4"/>
      <c r="H26" s="4">
        <v>1</v>
      </c>
      <c r="I26" s="4">
        <v>30</v>
      </c>
      <c r="J26" s="5" t="s">
        <v>80</v>
      </c>
      <c r="K26" s="21">
        <f t="shared" si="0"/>
        <v>30</v>
      </c>
      <c r="L26" s="21">
        <f t="shared" si="1"/>
        <v>5</v>
      </c>
      <c r="M26" s="22">
        <f t="shared" si="2"/>
        <v>36</v>
      </c>
      <c r="N26" s="20">
        <v>18</v>
      </c>
      <c r="O26" s="38">
        <v>20</v>
      </c>
      <c r="P26" s="31">
        <v>22</v>
      </c>
      <c r="Q26" s="25">
        <v>20</v>
      </c>
      <c r="R26" s="32">
        <v>26</v>
      </c>
    </row>
    <row r="27" spans="1:18" x14ac:dyDescent="0.2">
      <c r="A27" s="2" t="s">
        <v>23</v>
      </c>
      <c r="B27" s="3" t="s">
        <v>24</v>
      </c>
      <c r="C27" s="3">
        <v>3</v>
      </c>
      <c r="D27" s="4">
        <f>4.1+3+3</f>
        <v>10.1</v>
      </c>
      <c r="E27" s="4"/>
      <c r="F27" s="4"/>
      <c r="G27" s="4"/>
      <c r="H27" s="4">
        <v>2</v>
      </c>
      <c r="I27" s="4">
        <f>18+37+27</f>
        <v>82</v>
      </c>
      <c r="J27" s="5" t="s">
        <v>96</v>
      </c>
      <c r="K27" s="21">
        <f t="shared" si="0"/>
        <v>41</v>
      </c>
      <c r="L27" s="21">
        <f t="shared" si="1"/>
        <v>8.1188118811881189</v>
      </c>
      <c r="M27" s="22">
        <f t="shared" si="2"/>
        <v>30.049999999999997</v>
      </c>
      <c r="N27" s="20">
        <v>12</v>
      </c>
      <c r="O27" s="37">
        <v>21</v>
      </c>
      <c r="P27" s="35">
        <v>29</v>
      </c>
      <c r="Q27" s="25">
        <v>18</v>
      </c>
      <c r="R27" s="30">
        <v>13</v>
      </c>
    </row>
    <row r="28" spans="1:18" x14ac:dyDescent="0.2">
      <c r="A28" s="2" t="s">
        <v>35</v>
      </c>
      <c r="B28" s="3" t="s">
        <v>100</v>
      </c>
      <c r="C28" s="3">
        <v>2</v>
      </c>
      <c r="D28" s="4">
        <f>5+9</f>
        <v>14</v>
      </c>
      <c r="E28" s="4">
        <v>1</v>
      </c>
      <c r="F28" s="4">
        <v>2</v>
      </c>
      <c r="G28" s="4">
        <v>5</v>
      </c>
      <c r="H28" s="4">
        <v>2</v>
      </c>
      <c r="I28" s="4">
        <f>35+57</f>
        <v>92</v>
      </c>
      <c r="J28" s="5" t="s">
        <v>133</v>
      </c>
      <c r="K28" s="21">
        <f t="shared" si="0"/>
        <v>46</v>
      </c>
      <c r="L28" s="21">
        <f t="shared" si="1"/>
        <v>6.5714285714285712</v>
      </c>
      <c r="M28" s="22">
        <f t="shared" si="2"/>
        <v>42</v>
      </c>
      <c r="N28" s="20">
        <v>12</v>
      </c>
      <c r="O28" s="37">
        <v>22</v>
      </c>
      <c r="P28" s="31">
        <v>26</v>
      </c>
      <c r="Q28" s="25">
        <v>21</v>
      </c>
      <c r="R28" s="34">
        <v>21</v>
      </c>
    </row>
    <row r="29" spans="1:18" x14ac:dyDescent="0.2">
      <c r="A29" s="2" t="s">
        <v>39</v>
      </c>
      <c r="B29" s="3" t="s">
        <v>40</v>
      </c>
      <c r="C29" s="3">
        <v>3</v>
      </c>
      <c r="D29" s="4">
        <f>6+5+5</f>
        <v>16</v>
      </c>
      <c r="E29" s="4"/>
      <c r="F29" s="4"/>
      <c r="G29" s="4"/>
      <c r="H29" s="4">
        <v>1</v>
      </c>
      <c r="I29" s="4">
        <f>31+22+23</f>
        <v>76</v>
      </c>
      <c r="J29" s="5" t="s">
        <v>140</v>
      </c>
      <c r="K29" s="21">
        <f t="shared" si="0"/>
        <v>76</v>
      </c>
      <c r="L29" s="21">
        <f t="shared" si="1"/>
        <v>4.75</v>
      </c>
      <c r="M29" s="22">
        <f t="shared" si="2"/>
        <v>96</v>
      </c>
      <c r="N29" s="20">
        <v>18</v>
      </c>
      <c r="O29" s="38">
        <v>23</v>
      </c>
      <c r="P29" s="35">
        <v>19</v>
      </c>
      <c r="Q29" s="25">
        <v>23</v>
      </c>
      <c r="R29" s="31">
        <v>24</v>
      </c>
    </row>
    <row r="30" spans="1:18" x14ac:dyDescent="0.2">
      <c r="A30" s="2" t="s">
        <v>22</v>
      </c>
      <c r="B30" s="3" t="s">
        <v>11</v>
      </c>
      <c r="C30" s="3">
        <v>1</v>
      </c>
      <c r="D30" s="4">
        <v>3</v>
      </c>
      <c r="E30" s="4"/>
      <c r="F30" s="4"/>
      <c r="G30" s="4"/>
      <c r="H30" s="4">
        <v>0</v>
      </c>
      <c r="I30" s="4">
        <v>10</v>
      </c>
      <c r="J30" s="5" t="s">
        <v>154</v>
      </c>
      <c r="K30" s="21" t="str">
        <f t="shared" si="0"/>
        <v>No Avg.</v>
      </c>
      <c r="L30" s="21">
        <f t="shared" si="1"/>
        <v>3.3333333333333335</v>
      </c>
      <c r="M30" s="22" t="str">
        <f t="shared" si="2"/>
        <v>N/A</v>
      </c>
      <c r="N30" s="20">
        <v>19</v>
      </c>
      <c r="O30" s="38">
        <v>24</v>
      </c>
      <c r="P30" s="31">
        <v>12</v>
      </c>
      <c r="Q30" s="31">
        <v>24</v>
      </c>
      <c r="R30" s="31">
        <v>12</v>
      </c>
    </row>
    <row r="31" spans="1:18" x14ac:dyDescent="0.2">
      <c r="A31" s="2" t="s">
        <v>67</v>
      </c>
      <c r="B31" s="3" t="s">
        <v>68</v>
      </c>
      <c r="C31" s="3">
        <v>1</v>
      </c>
      <c r="D31" s="4">
        <v>6</v>
      </c>
      <c r="E31" s="4"/>
      <c r="F31" s="4"/>
      <c r="G31" s="4"/>
      <c r="H31" s="4">
        <v>0</v>
      </c>
      <c r="I31" s="4">
        <v>23</v>
      </c>
      <c r="J31" s="5" t="s">
        <v>84</v>
      </c>
      <c r="K31" s="21" t="str">
        <f t="shared" si="0"/>
        <v>No Avg.</v>
      </c>
      <c r="L31" s="21">
        <f t="shared" si="1"/>
        <v>3.8333333333333335</v>
      </c>
      <c r="M31" s="22" t="str">
        <f t="shared" si="2"/>
        <v>N/A</v>
      </c>
      <c r="N31" s="20">
        <v>19</v>
      </c>
      <c r="O31" s="38">
        <v>24</v>
      </c>
      <c r="P31" s="25">
        <v>15</v>
      </c>
      <c r="Q31" s="31">
        <v>24</v>
      </c>
      <c r="R31" s="34">
        <v>42</v>
      </c>
    </row>
    <row r="32" spans="1:18" x14ac:dyDescent="0.2">
      <c r="A32" s="2" t="s">
        <v>47</v>
      </c>
      <c r="B32" s="3" t="s">
        <v>48</v>
      </c>
      <c r="C32" s="3">
        <v>1</v>
      </c>
      <c r="D32" s="4">
        <v>6</v>
      </c>
      <c r="E32" s="4"/>
      <c r="F32" s="4"/>
      <c r="G32" s="4"/>
      <c r="H32" s="4">
        <v>0</v>
      </c>
      <c r="I32" s="4">
        <v>26</v>
      </c>
      <c r="J32" s="5" t="s">
        <v>119</v>
      </c>
      <c r="K32" s="21" t="str">
        <f t="shared" si="0"/>
        <v>No Avg.</v>
      </c>
      <c r="L32" s="21">
        <f t="shared" si="1"/>
        <v>4.333333333333333</v>
      </c>
      <c r="M32" s="22" t="str">
        <f t="shared" si="2"/>
        <v>N/A</v>
      </c>
      <c r="N32" s="20">
        <v>19</v>
      </c>
      <c r="O32" s="38">
        <v>24</v>
      </c>
      <c r="P32" s="31">
        <v>18</v>
      </c>
      <c r="Q32" s="31">
        <v>24</v>
      </c>
      <c r="R32" s="30">
        <v>28</v>
      </c>
    </row>
    <row r="33" spans="1:18" x14ac:dyDescent="0.2">
      <c r="A33" s="2" t="s">
        <v>53</v>
      </c>
      <c r="B33" s="3" t="s">
        <v>54</v>
      </c>
      <c r="C33" s="3">
        <v>1</v>
      </c>
      <c r="D33" s="4">
        <v>4</v>
      </c>
      <c r="E33" s="4"/>
      <c r="F33" s="4"/>
      <c r="G33" s="4"/>
      <c r="H33" s="4">
        <v>0</v>
      </c>
      <c r="I33" s="4">
        <v>19</v>
      </c>
      <c r="J33" s="5" t="s">
        <v>97</v>
      </c>
      <c r="K33" s="21" t="str">
        <f t="shared" si="0"/>
        <v>No Avg.</v>
      </c>
      <c r="L33" s="21">
        <f t="shared" si="1"/>
        <v>4.75</v>
      </c>
      <c r="M33" s="22" t="str">
        <f t="shared" si="2"/>
        <v>N/A</v>
      </c>
      <c r="N33" s="20">
        <v>19</v>
      </c>
      <c r="O33" s="38">
        <v>24</v>
      </c>
      <c r="P33" s="35">
        <v>19</v>
      </c>
      <c r="Q33" s="31">
        <v>24</v>
      </c>
      <c r="R33" s="32">
        <v>32</v>
      </c>
    </row>
    <row r="34" spans="1:18" x14ac:dyDescent="0.2">
      <c r="A34" s="2" t="s">
        <v>29</v>
      </c>
      <c r="B34" s="3" t="s">
        <v>14</v>
      </c>
      <c r="C34" s="3">
        <v>2</v>
      </c>
      <c r="D34" s="4">
        <f>5+6</f>
        <v>11</v>
      </c>
      <c r="E34" s="4">
        <v>1</v>
      </c>
      <c r="F34" s="4"/>
      <c r="G34" s="4">
        <f>3+1</f>
        <v>4</v>
      </c>
      <c r="H34" s="4">
        <v>0</v>
      </c>
      <c r="I34" s="4">
        <f>30+32</f>
        <v>62</v>
      </c>
      <c r="J34" s="5" t="s">
        <v>87</v>
      </c>
      <c r="K34" s="21" t="str">
        <f t="shared" si="0"/>
        <v>No Avg.</v>
      </c>
      <c r="L34" s="21">
        <f t="shared" si="1"/>
        <v>5.6363636363636367</v>
      </c>
      <c r="M34" s="22" t="str">
        <f t="shared" si="2"/>
        <v>N/A</v>
      </c>
      <c r="N34" s="20">
        <v>19</v>
      </c>
      <c r="O34" s="38">
        <v>24</v>
      </c>
      <c r="P34" s="25">
        <v>23</v>
      </c>
      <c r="Q34" s="31">
        <v>24</v>
      </c>
      <c r="R34" s="34">
        <v>18</v>
      </c>
    </row>
    <row r="35" spans="1:18" x14ac:dyDescent="0.2">
      <c r="A35" s="2" t="s">
        <v>51</v>
      </c>
      <c r="B35" s="3" t="s">
        <v>52</v>
      </c>
      <c r="C35" s="3">
        <v>3</v>
      </c>
      <c r="D35" s="4">
        <f>2+1+5</f>
        <v>8</v>
      </c>
      <c r="E35" s="4"/>
      <c r="F35" s="4"/>
      <c r="G35" s="4"/>
      <c r="H35" s="4">
        <v>0</v>
      </c>
      <c r="I35" s="4">
        <f>19+5+23</f>
        <v>47</v>
      </c>
      <c r="J35" s="5" t="s">
        <v>135</v>
      </c>
      <c r="K35" s="21" t="str">
        <f t="shared" si="0"/>
        <v>No Avg.</v>
      </c>
      <c r="L35" s="21">
        <f t="shared" si="1"/>
        <v>5.875</v>
      </c>
      <c r="M35" s="22" t="str">
        <f t="shared" si="2"/>
        <v>N/A</v>
      </c>
      <c r="N35" s="20">
        <v>19</v>
      </c>
      <c r="O35" s="38">
        <v>24</v>
      </c>
      <c r="P35" s="34">
        <v>24</v>
      </c>
      <c r="Q35" s="31">
        <v>24</v>
      </c>
      <c r="R35" s="30">
        <v>31</v>
      </c>
    </row>
    <row r="36" spans="1:18" x14ac:dyDescent="0.2">
      <c r="A36" s="2" t="s">
        <v>33</v>
      </c>
      <c r="B36" s="3" t="s">
        <v>34</v>
      </c>
      <c r="C36" s="3">
        <v>1</v>
      </c>
      <c r="D36" s="4">
        <v>3</v>
      </c>
      <c r="E36" s="4"/>
      <c r="F36" s="4"/>
      <c r="G36" s="4"/>
      <c r="H36" s="4">
        <v>0</v>
      </c>
      <c r="I36" s="4">
        <v>25</v>
      </c>
      <c r="J36" s="5" t="s">
        <v>136</v>
      </c>
      <c r="K36" s="21" t="str">
        <f t="shared" si="0"/>
        <v>No Avg.</v>
      </c>
      <c r="L36" s="21">
        <f t="shared" si="1"/>
        <v>8.3333333333333339</v>
      </c>
      <c r="M36" s="22" t="str">
        <f t="shared" si="2"/>
        <v>N/A</v>
      </c>
      <c r="N36" s="20">
        <v>19</v>
      </c>
      <c r="O36" s="38">
        <v>24</v>
      </c>
      <c r="P36" s="25">
        <v>30</v>
      </c>
      <c r="Q36" s="31">
        <v>24</v>
      </c>
      <c r="R36" s="32">
        <v>20</v>
      </c>
    </row>
    <row r="37" spans="1:18" x14ac:dyDescent="0.2">
      <c r="A37" s="2" t="s">
        <v>27</v>
      </c>
      <c r="B37" s="3" t="s">
        <v>28</v>
      </c>
      <c r="C37" s="3">
        <v>2</v>
      </c>
      <c r="D37" s="4">
        <f>3+1</f>
        <v>4</v>
      </c>
      <c r="E37" s="4"/>
      <c r="F37" s="4">
        <v>1</v>
      </c>
      <c r="G37" s="4"/>
      <c r="H37" s="4">
        <v>0</v>
      </c>
      <c r="I37" s="4">
        <f>38+5</f>
        <v>43</v>
      </c>
      <c r="J37" s="5" t="s">
        <v>99</v>
      </c>
      <c r="K37" s="21" t="str">
        <f t="shared" si="0"/>
        <v>No Avg.</v>
      </c>
      <c r="L37" s="21">
        <f t="shared" si="1"/>
        <v>10.75</v>
      </c>
      <c r="M37" s="22" t="str">
        <f t="shared" si="2"/>
        <v>N/A</v>
      </c>
      <c r="N37" s="20">
        <v>19</v>
      </c>
      <c r="O37" s="38">
        <v>24</v>
      </c>
      <c r="P37" s="31">
        <v>31</v>
      </c>
      <c r="Q37" s="31">
        <v>24</v>
      </c>
      <c r="R37" s="33">
        <v>16</v>
      </c>
    </row>
    <row r="38" spans="1:18" x14ac:dyDescent="0.2">
      <c r="A38" s="2" t="s">
        <v>12</v>
      </c>
      <c r="B38" s="3" t="s">
        <v>13</v>
      </c>
      <c r="C38" s="3">
        <v>1</v>
      </c>
      <c r="D38" s="4">
        <v>2</v>
      </c>
      <c r="E38" s="4"/>
      <c r="F38" s="4"/>
      <c r="G38" s="4"/>
      <c r="H38" s="4">
        <v>0</v>
      </c>
      <c r="I38" s="4">
        <v>22</v>
      </c>
      <c r="J38" s="5" t="s">
        <v>118</v>
      </c>
      <c r="K38" s="21" t="str">
        <f t="shared" si="0"/>
        <v>No Avg.</v>
      </c>
      <c r="L38" s="21">
        <f t="shared" si="1"/>
        <v>11</v>
      </c>
      <c r="M38" s="22" t="str">
        <f t="shared" si="2"/>
        <v>N/A</v>
      </c>
      <c r="N38" s="20">
        <v>19</v>
      </c>
      <c r="O38" s="38">
        <v>24</v>
      </c>
      <c r="P38" s="34">
        <v>32</v>
      </c>
      <c r="Q38" s="31">
        <v>24</v>
      </c>
      <c r="R38" s="30">
        <v>7</v>
      </c>
    </row>
    <row r="39" spans="1:18" x14ac:dyDescent="0.2">
      <c r="A39" s="2" t="s">
        <v>20</v>
      </c>
      <c r="B39" s="3" t="s">
        <v>21</v>
      </c>
      <c r="C39" s="3">
        <v>1</v>
      </c>
      <c r="D39" s="4">
        <v>2</v>
      </c>
      <c r="E39" s="4"/>
      <c r="F39" s="4"/>
      <c r="G39" s="4">
        <v>1</v>
      </c>
      <c r="H39" s="4">
        <v>0</v>
      </c>
      <c r="I39" s="4">
        <v>26</v>
      </c>
      <c r="J39" s="5" t="s">
        <v>119</v>
      </c>
      <c r="K39" s="21" t="str">
        <f t="shared" si="0"/>
        <v>No Avg.</v>
      </c>
      <c r="L39" s="21">
        <f t="shared" si="1"/>
        <v>13</v>
      </c>
      <c r="M39" s="22" t="str">
        <f t="shared" si="2"/>
        <v>N/A</v>
      </c>
      <c r="N39" s="20">
        <v>19</v>
      </c>
      <c r="O39" s="38">
        <v>24</v>
      </c>
      <c r="P39" s="31">
        <v>33</v>
      </c>
      <c r="Q39" s="31">
        <v>24</v>
      </c>
      <c r="R39" s="32">
        <v>11</v>
      </c>
    </row>
    <row r="40" spans="1:18" hidden="1" x14ac:dyDescent="0.2">
      <c r="A40" s="2" t="s">
        <v>4</v>
      </c>
      <c r="B40" s="3" t="s">
        <v>5</v>
      </c>
      <c r="C40" s="3"/>
      <c r="D40" s="4"/>
      <c r="E40" s="4"/>
      <c r="F40" s="4"/>
      <c r="G40" s="4"/>
      <c r="H40" s="4"/>
      <c r="I40" s="4"/>
      <c r="J40" s="4"/>
      <c r="K40" s="21" t="str">
        <f t="shared" si="0"/>
        <v>No Avg.</v>
      </c>
      <c r="L40" s="21" t="str">
        <f t="shared" si="1"/>
        <v>N/A</v>
      </c>
      <c r="M40" s="22" t="str">
        <f t="shared" si="2"/>
        <v>N/A</v>
      </c>
      <c r="N40" s="20"/>
      <c r="O40" s="38"/>
      <c r="P40" s="25"/>
      <c r="Q40" s="25"/>
      <c r="R40" s="19">
        <v>2</v>
      </c>
    </row>
    <row r="41" spans="1:18" hidden="1" x14ac:dyDescent="0.2">
      <c r="A41" s="2" t="s">
        <v>8</v>
      </c>
      <c r="B41" s="3" t="s">
        <v>9</v>
      </c>
      <c r="C41" s="3"/>
      <c r="D41" s="4"/>
      <c r="E41" s="4"/>
      <c r="F41" s="4"/>
      <c r="G41" s="4"/>
      <c r="H41" s="4"/>
      <c r="I41" s="4"/>
      <c r="J41" s="4"/>
      <c r="K41" s="21" t="str">
        <f t="shared" si="0"/>
        <v>No Avg.</v>
      </c>
      <c r="L41" s="21" t="str">
        <f t="shared" si="1"/>
        <v>N/A</v>
      </c>
      <c r="M41" s="22" t="str">
        <f t="shared" si="2"/>
        <v>N/A</v>
      </c>
      <c r="N41" s="20"/>
      <c r="O41" s="38"/>
      <c r="P41" s="25"/>
      <c r="Q41" s="25"/>
      <c r="R41" s="30">
        <v>4</v>
      </c>
    </row>
    <row r="42" spans="1:18" hidden="1" x14ac:dyDescent="0.2">
      <c r="A42" s="2" t="s">
        <v>10</v>
      </c>
      <c r="B42" s="3" t="s">
        <v>11</v>
      </c>
      <c r="C42" s="3"/>
      <c r="D42" s="4"/>
      <c r="E42" s="4"/>
      <c r="F42" s="4"/>
      <c r="G42" s="4"/>
      <c r="H42" s="4"/>
      <c r="I42" s="4"/>
      <c r="J42" s="4"/>
      <c r="K42" s="21" t="str">
        <f t="shared" si="0"/>
        <v>No Avg.</v>
      </c>
      <c r="L42" s="21" t="str">
        <f t="shared" si="1"/>
        <v>N/A</v>
      </c>
      <c r="M42" s="22" t="str">
        <f t="shared" si="2"/>
        <v>N/A</v>
      </c>
      <c r="N42" s="40"/>
      <c r="O42" s="37"/>
      <c r="P42" s="34"/>
      <c r="Q42" s="34"/>
      <c r="R42" s="31">
        <v>6</v>
      </c>
    </row>
    <row r="43" spans="1:18" hidden="1" x14ac:dyDescent="0.2">
      <c r="A43" s="2" t="s">
        <v>35</v>
      </c>
      <c r="B43" s="3" t="s">
        <v>36</v>
      </c>
      <c r="C43" s="3"/>
      <c r="D43" s="4"/>
      <c r="E43" s="4"/>
      <c r="F43" s="4"/>
      <c r="G43" s="4"/>
      <c r="H43" s="4"/>
      <c r="I43" s="4"/>
      <c r="J43" s="4"/>
      <c r="K43" s="21" t="str">
        <f t="shared" si="0"/>
        <v>No Avg.</v>
      </c>
      <c r="L43" s="21" t="str">
        <f t="shared" si="1"/>
        <v>N/A</v>
      </c>
      <c r="M43" s="22" t="str">
        <f t="shared" si="2"/>
        <v>N/A</v>
      </c>
      <c r="N43" s="40"/>
      <c r="O43" s="37"/>
      <c r="P43" s="34"/>
      <c r="Q43" s="34"/>
      <c r="R43" s="33">
        <v>22</v>
      </c>
    </row>
    <row r="44" spans="1:18" hidden="1" x14ac:dyDescent="0.2">
      <c r="A44" s="13" t="s">
        <v>37</v>
      </c>
      <c r="B44" s="3" t="s">
        <v>38</v>
      </c>
      <c r="C44" s="3"/>
      <c r="D44" s="4"/>
      <c r="E44" s="4"/>
      <c r="F44" s="4"/>
      <c r="G44" s="4"/>
      <c r="H44" s="4"/>
      <c r="I44" s="4"/>
      <c r="J44" s="4"/>
      <c r="K44" s="21" t="str">
        <f t="shared" si="0"/>
        <v>No Avg.</v>
      </c>
      <c r="L44" s="21" t="str">
        <f t="shared" si="1"/>
        <v>N/A</v>
      </c>
      <c r="M44" s="22" t="str">
        <f t="shared" si="2"/>
        <v>N/A</v>
      </c>
      <c r="N44" s="20"/>
      <c r="O44" s="38"/>
      <c r="P44" s="35"/>
      <c r="Q44" s="35"/>
      <c r="R44" s="32">
        <v>23</v>
      </c>
    </row>
    <row r="45" spans="1:18" hidden="1" x14ac:dyDescent="0.2">
      <c r="A45" s="2" t="s">
        <v>41</v>
      </c>
      <c r="B45" s="3" t="s">
        <v>42</v>
      </c>
      <c r="C45" s="3"/>
      <c r="D45" s="4"/>
      <c r="E45" s="4"/>
      <c r="F45" s="4"/>
      <c r="G45" s="4"/>
      <c r="H45" s="4"/>
      <c r="I45" s="4"/>
      <c r="J45" s="4"/>
      <c r="K45" s="21" t="str">
        <f t="shared" si="0"/>
        <v>No Avg.</v>
      </c>
      <c r="L45" s="21" t="str">
        <f t="shared" si="1"/>
        <v>N/A</v>
      </c>
      <c r="M45" s="22" t="str">
        <f t="shared" si="2"/>
        <v>N/A</v>
      </c>
      <c r="N45" s="40"/>
      <c r="O45" s="37"/>
      <c r="P45" s="31"/>
      <c r="Q45" s="31"/>
      <c r="R45" s="30">
        <v>25</v>
      </c>
    </row>
    <row r="46" spans="1:18" hidden="1" x14ac:dyDescent="0.2">
      <c r="A46" s="2" t="s">
        <v>45</v>
      </c>
      <c r="B46" s="3" t="s">
        <v>46</v>
      </c>
      <c r="C46" s="3"/>
      <c r="D46" s="4"/>
      <c r="E46" s="4"/>
      <c r="F46" s="4"/>
      <c r="G46" s="4"/>
      <c r="H46" s="4"/>
      <c r="I46" s="4"/>
      <c r="J46" s="4"/>
      <c r="K46" s="21" t="str">
        <f t="shared" si="0"/>
        <v>No Avg.</v>
      </c>
      <c r="L46" s="21" t="str">
        <f t="shared" si="1"/>
        <v>N/A</v>
      </c>
      <c r="M46" s="22" t="str">
        <f t="shared" si="2"/>
        <v>N/A</v>
      </c>
      <c r="N46" s="40"/>
      <c r="O46" s="37"/>
      <c r="P46" s="31"/>
      <c r="Q46" s="31"/>
      <c r="R46" s="34">
        <v>27</v>
      </c>
    </row>
    <row r="47" spans="1:18" hidden="1" x14ac:dyDescent="0.2">
      <c r="A47" s="2" t="s">
        <v>149</v>
      </c>
      <c r="B47" s="3" t="s">
        <v>150</v>
      </c>
      <c r="C47" s="3"/>
      <c r="D47" s="4"/>
      <c r="E47" s="4"/>
      <c r="F47" s="4"/>
      <c r="G47" s="4"/>
      <c r="H47" s="4"/>
      <c r="I47" s="4"/>
      <c r="J47" s="5"/>
      <c r="K47" s="21" t="str">
        <f t="shared" si="0"/>
        <v>No Avg.</v>
      </c>
      <c r="L47" s="21" t="str">
        <f t="shared" si="1"/>
        <v>N/A</v>
      </c>
      <c r="M47" s="22" t="str">
        <f t="shared" si="2"/>
        <v>N/A</v>
      </c>
      <c r="N47" s="40"/>
      <c r="O47" s="37"/>
      <c r="P47" s="34"/>
      <c r="Q47" s="35"/>
      <c r="R47" s="30">
        <v>34</v>
      </c>
    </row>
    <row r="48" spans="1:18" hidden="1" x14ac:dyDescent="0.2">
      <c r="A48" s="2" t="s">
        <v>146</v>
      </c>
      <c r="B48" s="3" t="s">
        <v>147</v>
      </c>
      <c r="C48" s="3"/>
      <c r="D48" s="4"/>
      <c r="E48" s="4"/>
      <c r="F48" s="4"/>
      <c r="G48" s="4"/>
      <c r="H48" s="4"/>
      <c r="I48" s="4"/>
      <c r="J48" s="5"/>
      <c r="K48" s="21" t="str">
        <f t="shared" si="0"/>
        <v>No Avg.</v>
      </c>
      <c r="L48" s="21" t="str">
        <f t="shared" si="1"/>
        <v>N/A</v>
      </c>
      <c r="M48" s="22" t="str">
        <f t="shared" si="2"/>
        <v>N/A</v>
      </c>
      <c r="N48" s="20"/>
      <c r="O48" s="38"/>
      <c r="P48" s="35"/>
      <c r="Q48" s="35"/>
      <c r="R48" s="32">
        <v>38</v>
      </c>
    </row>
    <row r="49" spans="1:18" ht="13.5" thickBot="1" x14ac:dyDescent="0.25">
      <c r="A49" s="62" t="s">
        <v>126</v>
      </c>
      <c r="B49" s="63" t="s">
        <v>125</v>
      </c>
      <c r="C49" s="63"/>
      <c r="D49" s="64"/>
      <c r="E49" s="64"/>
      <c r="F49" s="64"/>
      <c r="G49" s="64"/>
      <c r="H49" s="64"/>
      <c r="I49" s="64">
        <f>6+4+0+2+9+7+13+9+10+4+2+2+7+4+5</f>
        <v>84</v>
      </c>
      <c r="J49" s="65">
        <v>13</v>
      </c>
      <c r="K49" s="66" t="str">
        <f t="shared" si="0"/>
        <v>No Avg.</v>
      </c>
      <c r="L49" s="66" t="str">
        <f t="shared" si="1"/>
        <v>N/A</v>
      </c>
      <c r="M49" s="67" t="str">
        <f t="shared" si="2"/>
        <v>N/A</v>
      </c>
      <c r="N49" s="4"/>
      <c r="O49" s="39"/>
      <c r="P49" s="31"/>
      <c r="Q49" s="31"/>
      <c r="R49" s="33">
        <v>43</v>
      </c>
    </row>
    <row r="50" spans="1:18" ht="13.5" thickTop="1" x14ac:dyDescent="0.2"/>
    <row r="51" spans="1:18" x14ac:dyDescent="0.2">
      <c r="A51" s="27" t="s">
        <v>161</v>
      </c>
    </row>
    <row r="52" spans="1:18" x14ac:dyDescent="0.2">
      <c r="A52" s="27" t="s">
        <v>124</v>
      </c>
      <c r="H52" s="1" t="s">
        <v>76</v>
      </c>
      <c r="I52" s="1" t="s">
        <v>71</v>
      </c>
      <c r="J52" s="1" t="s">
        <v>121</v>
      </c>
    </row>
    <row r="53" spans="1:18" x14ac:dyDescent="0.2">
      <c r="A53" t="s">
        <v>101</v>
      </c>
      <c r="B53" t="s">
        <v>102</v>
      </c>
      <c r="H53" s="1">
        <v>9</v>
      </c>
      <c r="I53" s="1">
        <v>136</v>
      </c>
    </row>
    <row r="54" spans="1:18" x14ac:dyDescent="0.2">
      <c r="B54" t="s">
        <v>103</v>
      </c>
      <c r="H54" s="1">
        <v>10</v>
      </c>
      <c r="I54" s="1">
        <f>16+13+23+22+27+17+4</f>
        <v>122</v>
      </c>
    </row>
    <row r="55" spans="1:18" x14ac:dyDescent="0.2">
      <c r="B55" t="s">
        <v>104</v>
      </c>
      <c r="H55" s="1">
        <v>10</v>
      </c>
      <c r="I55" s="1">
        <f>37+30+30+33+24+15</f>
        <v>169</v>
      </c>
      <c r="J55" s="1">
        <v>1</v>
      </c>
    </row>
    <row r="56" spans="1:18" x14ac:dyDescent="0.2">
      <c r="B56" t="s">
        <v>105</v>
      </c>
      <c r="H56" s="1">
        <v>5</v>
      </c>
      <c r="I56" s="1">
        <f>34+13+15+18+24+14+2</f>
        <v>120</v>
      </c>
    </row>
    <row r="57" spans="1:18" x14ac:dyDescent="0.2">
      <c r="B57" t="s">
        <v>106</v>
      </c>
      <c r="H57" s="1">
        <v>7</v>
      </c>
      <c r="I57" s="1">
        <f>31+26+25+22+22+16+9</f>
        <v>151</v>
      </c>
      <c r="J57" s="1">
        <v>1</v>
      </c>
    </row>
    <row r="58" spans="1:18" x14ac:dyDescent="0.2">
      <c r="B58" t="s">
        <v>107</v>
      </c>
      <c r="H58" s="1">
        <v>7</v>
      </c>
      <c r="I58" s="1">
        <f>28+19+18+27+28+38+7</f>
        <v>165</v>
      </c>
      <c r="J58" s="1">
        <v>1</v>
      </c>
    </row>
    <row r="59" spans="1:18" x14ac:dyDescent="0.2">
      <c r="B59" t="s">
        <v>108</v>
      </c>
      <c r="H59" s="1">
        <v>7</v>
      </c>
      <c r="I59" s="1">
        <f>24+20+24+27+38+37+14+19+15+13</f>
        <v>231</v>
      </c>
      <c r="J59" s="1">
        <v>1</v>
      </c>
    </row>
    <row r="60" spans="1:18" x14ac:dyDescent="0.2">
      <c r="B60" t="s">
        <v>109</v>
      </c>
      <c r="H60" s="1">
        <v>5</v>
      </c>
      <c r="I60" s="1">
        <f>32+26+40+46+35+31+9</f>
        <v>219</v>
      </c>
    </row>
    <row r="61" spans="1:18" x14ac:dyDescent="0.2">
      <c r="B61" t="s">
        <v>102</v>
      </c>
      <c r="H61" s="1">
        <v>6</v>
      </c>
      <c r="I61" s="1">
        <v>193</v>
      </c>
      <c r="J61" s="1">
        <v>1</v>
      </c>
    </row>
    <row r="62" spans="1:18" x14ac:dyDescent="0.2">
      <c r="B62" t="s">
        <v>122</v>
      </c>
      <c r="H62" s="1">
        <v>6</v>
      </c>
      <c r="I62" s="1">
        <f>24+57+22+44+22+26+4</f>
        <v>199</v>
      </c>
      <c r="J62" s="1">
        <v>1</v>
      </c>
    </row>
    <row r="63" spans="1:18" x14ac:dyDescent="0.2">
      <c r="B63" t="s">
        <v>123</v>
      </c>
      <c r="H63" s="1">
        <v>10</v>
      </c>
      <c r="I63" s="1">
        <f>21+14+12+22+12+5+6+2</f>
        <v>94</v>
      </c>
      <c r="J63" s="1">
        <v>0</v>
      </c>
    </row>
    <row r="64" spans="1:18" x14ac:dyDescent="0.2">
      <c r="B64" t="s">
        <v>106</v>
      </c>
      <c r="H64" s="1">
        <v>7</v>
      </c>
      <c r="I64" s="1">
        <f>30+26+25+42+17+35+2</f>
        <v>177</v>
      </c>
      <c r="J64" s="1">
        <v>0</v>
      </c>
    </row>
    <row r="65" spans="2:10" x14ac:dyDescent="0.2">
      <c r="B65" t="s">
        <v>102</v>
      </c>
      <c r="H65" s="1">
        <v>10</v>
      </c>
      <c r="I65" s="1">
        <f>18+21+23+11+13+17+7</f>
        <v>110</v>
      </c>
      <c r="J65" s="1">
        <v>0</v>
      </c>
    </row>
    <row r="66" spans="2:10" x14ac:dyDescent="0.2">
      <c r="B66" t="s">
        <v>104</v>
      </c>
      <c r="H66" s="1">
        <v>8</v>
      </c>
      <c r="I66" s="1">
        <f>36+7+16+18+10+23</f>
        <v>110</v>
      </c>
      <c r="J66" s="1">
        <v>0</v>
      </c>
    </row>
    <row r="67" spans="2:10" x14ac:dyDescent="0.2">
      <c r="B67" t="s">
        <v>106</v>
      </c>
      <c r="H67" s="1">
        <v>8</v>
      </c>
      <c r="I67" s="1">
        <v>128</v>
      </c>
      <c r="J67" s="1">
        <v>0</v>
      </c>
    </row>
    <row r="69" spans="2:10" x14ac:dyDescent="0.2">
      <c r="B69" t="s">
        <v>115</v>
      </c>
      <c r="H69" s="1">
        <f>SUM(H53:H68)-J69</f>
        <v>109</v>
      </c>
      <c r="I69" s="1">
        <f>SUM(I53:I68)</f>
        <v>2324</v>
      </c>
      <c r="J69" s="1">
        <f>SUM(J53:J68)</f>
        <v>6</v>
      </c>
    </row>
    <row r="70" spans="2:10" x14ac:dyDescent="0.2">
      <c r="B70" t="s">
        <v>116</v>
      </c>
      <c r="H70" s="1">
        <f>SUM(H69)-SUM(H7:H49)</f>
        <v>0</v>
      </c>
      <c r="I70" s="1">
        <f>+I69-SUM(I7:I49)</f>
        <v>0</v>
      </c>
    </row>
  </sheetData>
  <phoneticPr fontId="1" type="noConversion"/>
  <pageMargins left="0.28000000000000003" right="0.24" top="0.45" bottom="0.34" header="0.37" footer="0.2"/>
  <pageSetup paperSize="9" scale="9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Batting</vt:lpstr>
      <vt:lpstr>Bowling</vt:lpstr>
      <vt:lpstr>Sheet3</vt:lpstr>
      <vt:lpstr>Batting!Print_Area</vt:lpstr>
      <vt:lpstr>Bowling!Print_Area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Ivan Gorridge</cp:lastModifiedBy>
  <cp:lastPrinted>2014-06-30T23:09:34Z</cp:lastPrinted>
  <dcterms:created xsi:type="dcterms:W3CDTF">2013-12-21T20:42:01Z</dcterms:created>
  <dcterms:modified xsi:type="dcterms:W3CDTF">2014-07-01T01:38:26Z</dcterms:modified>
</cp:coreProperties>
</file>